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QuaRiep" sheetId="1" r:id="rId1"/>
    <sheet name="QuaEc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<sst xmlns="http://schemas.openxmlformats.org/spreadsheetml/2006/main" count="120" uniqueCount="108">
  <si>
    <t>ANZIO - VILLA CORSINI SARSINA</t>
  </si>
  <si>
    <t>Categoria di Lavoro</t>
  </si>
  <si>
    <t>OPERE PROVVISIONALI</t>
  </si>
  <si>
    <t>REVISIONE DEL TETTO</t>
  </si>
  <si>
    <t>CONSOLIDAMENTO STATICO</t>
  </si>
  <si>
    <t>BONIFICA PIANO INTERRATO</t>
  </si>
  <si>
    <t>TUNNEL COLLEGAMENTO</t>
  </si>
  <si>
    <t>REALIZZAZIONE BAGNI</t>
  </si>
  <si>
    <t>RESTAURO ARTISTICO</t>
  </si>
  <si>
    <t>PAVIMENTAZIONI</t>
  </si>
  <si>
    <t>INFISSI</t>
  </si>
  <si>
    <t>IMPIANTO IDRAULICO</t>
  </si>
  <si>
    <t>IMP. CONDIZ. E RISCALDA.</t>
  </si>
  <si>
    <t>IMPIANTO ANTINCENDIO</t>
  </si>
  <si>
    <t>COMPARTIM. E SICU. ANTINCENDIO</t>
  </si>
  <si>
    <t>IMPIANTO ILLMUNINAZIONE VOLTA</t>
  </si>
  <si>
    <t>IMPIANTO ELETTRICO</t>
  </si>
  <si>
    <t>ILLUMINAZIONE ESTERNA</t>
  </si>
  <si>
    <t>ASCENSORI</t>
  </si>
  <si>
    <t>SERVOSCALA DISABILI</t>
  </si>
  <si>
    <t>SCALA ELICOIDALE</t>
  </si>
  <si>
    <t>SISTEMAZIONE AREE ESTERNE</t>
  </si>
  <si>
    <t>MURO ESTERNO DI RECINZIONE</t>
  </si>
  <si>
    <t>% SAL</t>
  </si>
  <si>
    <t>n°</t>
  </si>
  <si>
    <t>Totale</t>
  </si>
  <si>
    <t>Opere in meno</t>
  </si>
  <si>
    <t>Opere in più</t>
  </si>
  <si>
    <t>Differenza</t>
  </si>
  <si>
    <t>Importi da dare</t>
  </si>
  <si>
    <t>Importi al 5° SAL</t>
  </si>
  <si>
    <t>Perizia del 5%</t>
  </si>
  <si>
    <t>QUADRO RIEPILOGATIVO</t>
  </si>
  <si>
    <t>contratto n°9117</t>
  </si>
  <si>
    <t>del 18/03/2005</t>
  </si>
  <si>
    <t>IL DIRETTORE DEI LAVORI</t>
  </si>
  <si>
    <t>IL RESPONSABILE DEL PROCEDIMENTO</t>
  </si>
  <si>
    <t>(Dott. Arch. Luigi Carbonetti)</t>
  </si>
  <si>
    <t>Rimborsi a fatture</t>
  </si>
  <si>
    <t>Economie</t>
  </si>
  <si>
    <t>Contratto</t>
  </si>
  <si>
    <t>Tot. 2 Variante</t>
  </si>
  <si>
    <t>(Dott. Arch. Massimo Piacenza)</t>
  </si>
  <si>
    <t>Tot. 1 Variante</t>
  </si>
  <si>
    <t>Somma Varianti</t>
  </si>
  <si>
    <t>Importo Totale Variante Ottobre 2007</t>
  </si>
  <si>
    <t>Importo Totale Variante Settembre 2006</t>
  </si>
  <si>
    <t>Provincia di Roma</t>
  </si>
  <si>
    <t>Città di Anzio</t>
  </si>
  <si>
    <t>Appalto Concorso per  il Restauro e recupero funzionale</t>
  </si>
  <si>
    <t>di Villa Corsini Sarsina</t>
  </si>
  <si>
    <t>Differenze</t>
  </si>
  <si>
    <t>€uro</t>
  </si>
  <si>
    <t>A) Lavori di contratto</t>
  </si>
  <si>
    <t>di cui:</t>
  </si>
  <si>
    <t>Lavori aggiudicati</t>
  </si>
  <si>
    <t>offerta</t>
  </si>
  <si>
    <t>lavori a corpo escluso oneri per la sicurezza</t>
  </si>
  <si>
    <t>esclusi nell'offerta ma inseriti nell'appalto</t>
  </si>
  <si>
    <t>Lavori di variante</t>
  </si>
  <si>
    <t>Lavori per oneri della sicurezza</t>
  </si>
  <si>
    <t>a) economie</t>
  </si>
  <si>
    <t>b) rimborsi a fattura esclusi dall'appalto</t>
  </si>
  <si>
    <t>B) SOMME A DISPOSIZIONE DELL'AMMINISTRAZIONE</t>
  </si>
  <si>
    <t>lavori in economia esclusi dall'appalto</t>
  </si>
  <si>
    <t>rilievi ed indagini</t>
  </si>
  <si>
    <t>allacciamenti</t>
  </si>
  <si>
    <t>Idrico</t>
  </si>
  <si>
    <t>a cura dell'ente gestore</t>
  </si>
  <si>
    <t>gas</t>
  </si>
  <si>
    <t>elettrico</t>
  </si>
  <si>
    <t>telefonico</t>
  </si>
  <si>
    <t>imprevisti ed arrotondamenti</t>
  </si>
  <si>
    <t>imprevisti</t>
  </si>
  <si>
    <t>arrotondamenti</t>
  </si>
  <si>
    <t>acquisizione aree ed immobili</t>
  </si>
  <si>
    <t>accantonamento art. 26 c. 4 .1 L.109/94</t>
  </si>
  <si>
    <t>spese tecniche</t>
  </si>
  <si>
    <r>
      <t>spese tecniche</t>
    </r>
    <r>
      <rPr>
        <sz val="8"/>
        <rFont val="Arial"/>
        <family val="2"/>
      </rPr>
      <t>( incentivo alla prgettazione) art.18 L. 109/94 1,5%</t>
    </r>
  </si>
  <si>
    <r>
      <t>spese tecniche</t>
    </r>
    <r>
      <rPr>
        <sz val="8"/>
        <rFont val="Arial"/>
        <family val="2"/>
      </rPr>
      <t>( incentivo alla prgettazione variante) art.18 L. 109/94 2%</t>
    </r>
  </si>
  <si>
    <t>Spese progetto fornito dall' Amm. Comunale</t>
  </si>
  <si>
    <t>spese per consulenze di supporto</t>
  </si>
  <si>
    <t>eventuali spese per commissioni giud.</t>
  </si>
  <si>
    <t>spese per pubblicità ed opere artistiche</t>
  </si>
  <si>
    <t>spese per accertamenti di laboratorio</t>
  </si>
  <si>
    <t>accertamenti</t>
  </si>
  <si>
    <t>Spese per collaudatori specialistici</t>
  </si>
  <si>
    <t>IVA 10%</t>
  </si>
  <si>
    <t>lavori</t>
  </si>
  <si>
    <t>IVA 20%</t>
  </si>
  <si>
    <t>forniture</t>
  </si>
  <si>
    <t>varie,collaudi,rilievi,indagini,consulenze,accertameni,pubblicità</t>
  </si>
  <si>
    <t>commissioni</t>
  </si>
  <si>
    <t>Ribasso d'asta</t>
  </si>
  <si>
    <t>TOTALE</t>
  </si>
  <si>
    <t>soldi recuperati dal quadro economico</t>
  </si>
  <si>
    <t>soldi che bisogna trovare</t>
  </si>
  <si>
    <t>soldi  a disposizione</t>
  </si>
  <si>
    <t>totale perizia</t>
  </si>
  <si>
    <t>minore di 20%</t>
  </si>
  <si>
    <t>Quadro Economico  seguito di rideterminazione D.D. n.51 del 26/06/2006</t>
  </si>
  <si>
    <t>Variante 1 - Settembre 2006</t>
  </si>
  <si>
    <t xml:space="preserve">Quadro Economico di Contratto </t>
  </si>
  <si>
    <r>
      <t xml:space="preserve">Variante 2 - Ottobre 2007
 </t>
    </r>
    <r>
      <rPr>
        <b/>
        <sz val="10"/>
        <rFont val="Arial"/>
        <family val="2"/>
      </rPr>
      <t>Del. G.P. n°1433/43 dell' 21-11-07</t>
    </r>
  </si>
  <si>
    <t xml:space="preserve"> Arch. Luca Campofelice</t>
  </si>
  <si>
    <t>Variazione QE 
giugno 2009</t>
  </si>
  <si>
    <t>Il Responsabile Unico del Procedimento</t>
  </si>
  <si>
    <t>Dip.VIII Serv.2 Valorizzazione, Salvaguardia, Tutela e Fruizione dei Beni Architettonici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</si>
</sst>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_-;\-[$€-2]\ * #,##0.0_-;_-[$€-2]\ * &quot;-&quot;??_-"/>
    <numFmt numFmtId="172" formatCode="_-[$€-2]\ * #,##0_-;\-[$€-2]\ * #,##0_-;_-[$€-2]\ * &quot;-&quot;??_-"/>
    <numFmt numFmtId="173" formatCode="0.0%"/>
    <numFmt numFmtId="174" formatCode="_-[$€-2]\ * #,##0.00_-;\-[$€-2]\ * #,##0.00_-;_-[$€-2]\ * &quot;-&quot;??_-;_-@_-"/>
    <numFmt numFmtId="175" formatCode="_-[$€-2]\ * #,##0.000_-;\-[$€-2]\ * #,##0.000_-;_-[$€-2]\ * &quot;-&quot;??_-;_-@_-"/>
    <numFmt numFmtId="176" formatCode="_-[$€-2]\ * #,##0.0000_-;\-[$€-2]\ * #,##0.0000_-;_-[$€-2]\ * &quot;-&quot;??_-;_-@_-"/>
    <numFmt numFmtId="177" formatCode="_-[$€-2]\ * #,##0.0_-;\-[$€-2]\ * #,##0.0_-;_-[$€-2]\ * &quot;-&quot;??_-;_-@_-"/>
    <numFmt numFmtId="178" formatCode="0.000%"/>
    <numFmt numFmtId="179" formatCode="0.0000%"/>
    <numFmt numFmtId="180" formatCode="[$€-2]\ #,##0.00;\-[$€-2]\ #,##0.00"/>
    <numFmt numFmtId="181" formatCode="[$€-2]\ #,##0.00;[Red]\-[$€-2]\ #,##0.00"/>
    <numFmt numFmtId="182" formatCode="_-* #,##0.00_-;\-* #,##0.00_-;_-* &quot;-&quot;_-;_-@_-"/>
  </numFmts>
  <fonts count="1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color indexed="53"/>
      <name val="Verdana"/>
      <family val="2"/>
    </font>
    <font>
      <sz val="9"/>
      <name val="Verdana"/>
      <family val="2"/>
    </font>
    <font>
      <b/>
      <sz val="22"/>
      <name val="English157 BT"/>
      <family val="4"/>
    </font>
    <font>
      <sz val="11"/>
      <name val="English157 BT"/>
      <family val="4"/>
    </font>
    <font>
      <sz val="8"/>
      <name val="English157 BT"/>
      <family val="4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0" fontId="1" fillId="0" borderId="1" xfId="15" applyFont="1" applyBorder="1" applyAlignment="1">
      <alignment/>
    </xf>
    <xf numFmtId="170" fontId="1" fillId="0" borderId="1" xfId="15" applyFont="1" applyBorder="1" applyAlignment="1">
      <alignment horizontal="right"/>
    </xf>
    <xf numFmtId="170" fontId="2" fillId="0" borderId="3" xfId="0" applyNumberFormat="1" applyFont="1" applyBorder="1" applyAlignment="1">
      <alignment/>
    </xf>
    <xf numFmtId="170" fontId="3" fillId="0" borderId="3" xfId="0" applyNumberFormat="1" applyFont="1" applyBorder="1" applyAlignment="1">
      <alignment/>
    </xf>
    <xf numFmtId="170" fontId="1" fillId="0" borderId="1" xfId="15" applyFont="1" applyBorder="1" applyAlignment="1">
      <alignment/>
    </xf>
    <xf numFmtId="10" fontId="6" fillId="0" borderId="3" xfId="0" applyNumberFormat="1" applyFont="1" applyBorder="1" applyAlignment="1">
      <alignment/>
    </xf>
    <xf numFmtId="174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170" fontId="1" fillId="0" borderId="3" xfId="15" applyFont="1" applyBorder="1" applyAlignment="1">
      <alignment/>
    </xf>
    <xf numFmtId="170" fontId="2" fillId="0" borderId="3" xfId="15" applyFont="1" applyBorder="1" applyAlignment="1">
      <alignment/>
    </xf>
    <xf numFmtId="0" fontId="0" fillId="0" borderId="3" xfId="0" applyBorder="1" applyAlignment="1">
      <alignment/>
    </xf>
    <xf numFmtId="0" fontId="2" fillId="0" borderId="5" xfId="0" applyFont="1" applyFill="1" applyBorder="1" applyAlignment="1">
      <alignment horizontal="center" wrapText="1"/>
    </xf>
    <xf numFmtId="170" fontId="7" fillId="0" borderId="3" xfId="0" applyNumberFormat="1" applyFont="1" applyBorder="1" applyAlignment="1">
      <alignment/>
    </xf>
    <xf numFmtId="170" fontId="8" fillId="0" borderId="3" xfId="15" applyFont="1" applyBorder="1" applyAlignment="1">
      <alignment/>
    </xf>
    <xf numFmtId="0" fontId="2" fillId="0" borderId="1" xfId="0" applyFont="1" applyBorder="1" applyAlignment="1">
      <alignment horizontal="left"/>
    </xf>
    <xf numFmtId="174" fontId="2" fillId="0" borderId="2" xfId="0" applyNumberFormat="1" applyFont="1" applyBorder="1" applyAlignment="1">
      <alignment/>
    </xf>
    <xf numFmtId="170" fontId="9" fillId="0" borderId="3" xfId="0" applyNumberFormat="1" applyFont="1" applyBorder="1" applyAlignment="1">
      <alignment/>
    </xf>
    <xf numFmtId="170" fontId="9" fillId="0" borderId="5" xfId="0" applyNumberFormat="1" applyFont="1" applyBorder="1" applyAlignment="1">
      <alignment horizontal="center"/>
    </xf>
    <xf numFmtId="170" fontId="1" fillId="0" borderId="1" xfId="15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174" fontId="0" fillId="0" borderId="0" xfId="0" applyNumberFormat="1" applyBorder="1" applyAlignment="1">
      <alignment/>
    </xf>
    <xf numFmtId="10" fontId="2" fillId="0" borderId="2" xfId="18" applyNumberFormat="1" applyFont="1" applyBorder="1" applyAlignment="1">
      <alignment/>
    </xf>
    <xf numFmtId="0" fontId="0" fillId="0" borderId="0" xfId="0" applyBorder="1" applyAlignment="1">
      <alignment/>
    </xf>
    <xf numFmtId="174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70" fontId="2" fillId="0" borderId="5" xfId="0" applyNumberFormat="1" applyFont="1" applyBorder="1" applyAlignment="1">
      <alignment horizontal="center"/>
    </xf>
    <xf numFmtId="181" fontId="1" fillId="0" borderId="3" xfId="15" applyNumberFormat="1" applyFont="1" applyBorder="1" applyAlignment="1">
      <alignment/>
    </xf>
    <xf numFmtId="174" fontId="2" fillId="0" borderId="0" xfId="0" applyNumberFormat="1" applyFont="1" applyAlignment="1">
      <alignment horizontal="center"/>
    </xf>
    <xf numFmtId="178" fontId="2" fillId="0" borderId="3" xfId="18" applyNumberFormat="1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4" fontId="16" fillId="0" borderId="8" xfId="0" applyNumberFormat="1" applyFont="1" applyBorder="1" applyAlignment="1">
      <alignment/>
    </xf>
    <xf numFmtId="0" fontId="16" fillId="0" borderId="7" xfId="0" applyFont="1" applyBorder="1" applyAlignment="1">
      <alignment horizontal="right"/>
    </xf>
    <xf numFmtId="4" fontId="16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4" fontId="16" fillId="0" borderId="8" xfId="0" applyNumberFormat="1" applyFont="1" applyBorder="1" applyAlignment="1">
      <alignment horizontal="right"/>
    </xf>
    <xf numFmtId="4" fontId="16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4" fontId="0" fillId="2" borderId="0" xfId="0" applyNumberFormat="1" applyFill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0" fillId="0" borderId="0" xfId="0" applyFill="1" applyAlignment="1">
      <alignment/>
    </xf>
    <xf numFmtId="182" fontId="0" fillId="0" borderId="0" xfId="17" applyNumberFormat="1" applyFill="1" applyAlignment="1">
      <alignment/>
    </xf>
    <xf numFmtId="4" fontId="0" fillId="0" borderId="0" xfId="0" applyNumberFormat="1" applyFill="1" applyAlignment="1">
      <alignment horizontal="right"/>
    </xf>
    <xf numFmtId="182" fontId="0" fillId="0" borderId="0" xfId="17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9" fontId="5" fillId="0" borderId="0" xfId="0" applyNumberFormat="1" applyFont="1" applyAlignment="1">
      <alignment/>
    </xf>
    <xf numFmtId="0" fontId="16" fillId="2" borderId="0" xfId="0" applyFont="1" applyFill="1" applyAlignment="1">
      <alignment/>
    </xf>
    <xf numFmtId="182" fontId="0" fillId="2" borderId="0" xfId="17" applyNumberForma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43" fontId="16" fillId="0" borderId="0" xfId="16" applyFont="1" applyAlignment="1">
      <alignment/>
    </xf>
    <xf numFmtId="0" fontId="16" fillId="0" borderId="6" xfId="0" applyFont="1" applyBorder="1" applyAlignment="1">
      <alignment horizontal="right" vertical="center"/>
    </xf>
    <xf numFmtId="4" fontId="16" fillId="0" borderId="8" xfId="0" applyNumberFormat="1" applyFont="1" applyBorder="1" applyAlignment="1">
      <alignment horizontal="center" vertical="center"/>
    </xf>
    <xf numFmtId="1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74" fontId="0" fillId="0" borderId="3" xfId="0" applyNumberFormat="1" applyBorder="1" applyAlignment="1">
      <alignment/>
    </xf>
    <xf numFmtId="10" fontId="0" fillId="0" borderId="0" xfId="18" applyNumberFormat="1" applyAlignment="1">
      <alignment/>
    </xf>
    <xf numFmtId="178" fontId="0" fillId="0" borderId="0" xfId="18" applyNumberFormat="1" applyAlignment="1">
      <alignment/>
    </xf>
    <xf numFmtId="182" fontId="0" fillId="2" borderId="0" xfId="0" applyNumberFormat="1" applyFill="1" applyAlignment="1">
      <alignment/>
    </xf>
    <xf numFmtId="10" fontId="2" fillId="0" borderId="3" xfId="18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H27">
      <pane xSplit="4185" ySplit="1590" topLeftCell="C1" activePane="bottomRight" state="split"/>
      <selection pane="topLeft" activeCell="H29" sqref="H29"/>
      <selection pane="topRight" activeCell="D4" sqref="D4"/>
      <selection pane="bottomLeft" activeCell="A30" sqref="A30"/>
      <selection pane="bottomRight" activeCell="D48" sqref="D48:E54"/>
    </sheetView>
  </sheetViews>
  <sheetFormatPr defaultColWidth="9.140625" defaultRowHeight="12.75" outlineLevelCol="1"/>
  <cols>
    <col min="1" max="1" width="4.57421875" style="2" customWidth="1"/>
    <col min="2" max="3" width="9.140625" style="1" customWidth="1"/>
    <col min="4" max="4" width="17.8515625" style="1" customWidth="1"/>
    <col min="5" max="5" width="19.28125" style="1" customWidth="1"/>
    <col min="6" max="6" width="18.421875" style="1" hidden="1" customWidth="1" outlineLevel="1"/>
    <col min="7" max="7" width="9.140625" style="1" hidden="1" customWidth="1" outlineLevel="1"/>
    <col min="8" max="8" width="18.140625" style="1" customWidth="1" collapsed="1"/>
    <col min="9" max="9" width="19.8515625" style="1" customWidth="1"/>
    <col min="10" max="10" width="19.421875" style="1" customWidth="1"/>
    <col min="11" max="11" width="17.00390625" style="1" customWidth="1"/>
    <col min="12" max="12" width="19.140625" style="0" customWidth="1"/>
    <col min="13" max="13" width="19.8515625" style="0" hidden="1" customWidth="1" outlineLevel="1"/>
    <col min="14" max="14" width="9.140625" style="0" customWidth="1" collapsed="1"/>
  </cols>
  <sheetData>
    <row r="1" spans="2:9" ht="12.75">
      <c r="B1" s="110" t="s">
        <v>0</v>
      </c>
      <c r="C1" s="111"/>
      <c r="D1" s="111"/>
      <c r="E1" s="111"/>
      <c r="F1" s="111"/>
      <c r="G1" s="111"/>
      <c r="H1" s="111"/>
      <c r="I1" s="112"/>
    </row>
    <row r="2" spans="2:9" ht="13.5" thickBot="1">
      <c r="B2" s="113"/>
      <c r="C2" s="114"/>
      <c r="D2" s="114"/>
      <c r="E2" s="114"/>
      <c r="F2" s="114"/>
      <c r="G2" s="114"/>
      <c r="H2" s="114"/>
      <c r="I2" s="115"/>
    </row>
    <row r="4" spans="3:10" ht="12.75">
      <c r="C4" s="116" t="s">
        <v>32</v>
      </c>
      <c r="D4" s="117"/>
      <c r="E4" s="117"/>
      <c r="F4" s="117"/>
      <c r="G4" s="118"/>
      <c r="H4" s="35"/>
      <c r="I4" s="1" t="s">
        <v>33</v>
      </c>
      <c r="J4" s="2" t="s">
        <v>34</v>
      </c>
    </row>
    <row r="5" ht="9.75" customHeight="1"/>
    <row r="6" spans="1:13" ht="43.5" customHeight="1">
      <c r="A6" s="9" t="s">
        <v>24</v>
      </c>
      <c r="B6" s="119" t="s">
        <v>1</v>
      </c>
      <c r="C6" s="120"/>
      <c r="D6" s="121"/>
      <c r="E6" s="10" t="s">
        <v>40</v>
      </c>
      <c r="F6" s="10" t="s">
        <v>30</v>
      </c>
      <c r="G6" s="10" t="s">
        <v>23</v>
      </c>
      <c r="H6" s="43" t="s">
        <v>46</v>
      </c>
      <c r="I6" s="44" t="s">
        <v>26</v>
      </c>
      <c r="J6" s="45" t="s">
        <v>27</v>
      </c>
      <c r="K6" s="28" t="s">
        <v>28</v>
      </c>
      <c r="L6" s="43" t="s">
        <v>45</v>
      </c>
      <c r="M6" s="22" t="s">
        <v>29</v>
      </c>
    </row>
    <row r="7" spans="1:13" ht="12.75">
      <c r="A7" s="8">
        <v>1</v>
      </c>
      <c r="B7" s="122" t="s">
        <v>2</v>
      </c>
      <c r="C7" s="123"/>
      <c r="D7" s="124"/>
      <c r="E7" s="12">
        <v>280527.53</v>
      </c>
      <c r="F7" s="15">
        <v>185588.35</v>
      </c>
      <c r="G7" s="16">
        <f>SUM(F7/E7)</f>
        <v>0.6615691158725134</v>
      </c>
      <c r="H7" s="12">
        <v>280527.53</v>
      </c>
      <c r="I7" s="19">
        <v>0</v>
      </c>
      <c r="J7" s="19">
        <v>0</v>
      </c>
      <c r="K7" s="46">
        <v>0</v>
      </c>
      <c r="L7" s="19">
        <f>SUM(E7+K7)</f>
        <v>280527.53</v>
      </c>
      <c r="M7" s="19">
        <f aca="true" t="shared" si="0" ref="M7:M27">SUM(L7-F7)</f>
        <v>94939.18000000002</v>
      </c>
    </row>
    <row r="8" spans="1:13" ht="12.75">
      <c r="A8" s="8">
        <v>2</v>
      </c>
      <c r="B8" s="122" t="s">
        <v>3</v>
      </c>
      <c r="C8" s="123"/>
      <c r="D8" s="124"/>
      <c r="E8" s="11">
        <v>92389.01</v>
      </c>
      <c r="F8" s="15">
        <v>89637.66</v>
      </c>
      <c r="G8" s="16">
        <f aca="true" t="shared" si="1" ref="G8:G27">SUM(F8/E8)</f>
        <v>0.9702199428265332</v>
      </c>
      <c r="H8" s="12">
        <v>119668.99</v>
      </c>
      <c r="I8" s="19">
        <v>0</v>
      </c>
      <c r="J8" s="19">
        <v>0</v>
      </c>
      <c r="K8" s="46">
        <f>SUM(J8-I8)</f>
        <v>0</v>
      </c>
      <c r="L8" s="19">
        <f>H8+K8</f>
        <v>119668.99</v>
      </c>
      <c r="M8" s="19">
        <f t="shared" si="0"/>
        <v>30031.33</v>
      </c>
    </row>
    <row r="9" spans="1:13" ht="12.75">
      <c r="A9" s="8">
        <v>3</v>
      </c>
      <c r="B9" s="122" t="s">
        <v>4</v>
      </c>
      <c r="C9" s="123"/>
      <c r="D9" s="124"/>
      <c r="E9" s="11">
        <v>249400.09</v>
      </c>
      <c r="F9" s="15">
        <v>151233.52</v>
      </c>
      <c r="G9" s="16">
        <f t="shared" si="1"/>
        <v>0.6063891957697368</v>
      </c>
      <c r="H9" s="12">
        <v>348950.54</v>
      </c>
      <c r="I9" s="19">
        <v>0</v>
      </c>
      <c r="J9" s="19">
        <v>0</v>
      </c>
      <c r="K9" s="46">
        <f aca="true" t="shared" si="2" ref="K9:K27">SUM(J9-I9)</f>
        <v>0</v>
      </c>
      <c r="L9" s="19">
        <f aca="true" t="shared" si="3" ref="L9:L27">H9+K9</f>
        <v>348950.54</v>
      </c>
      <c r="M9" s="19">
        <f t="shared" si="0"/>
        <v>197717.02</v>
      </c>
    </row>
    <row r="10" spans="1:13" ht="12.75">
      <c r="A10" s="8">
        <v>4</v>
      </c>
      <c r="B10" s="122" t="s">
        <v>5</v>
      </c>
      <c r="C10" s="123"/>
      <c r="D10" s="124"/>
      <c r="E10" s="11">
        <v>90917.52</v>
      </c>
      <c r="F10" s="15">
        <v>4779.02</v>
      </c>
      <c r="G10" s="16">
        <f t="shared" si="1"/>
        <v>0.0525643462338172</v>
      </c>
      <c r="H10" s="12">
        <v>90917.52</v>
      </c>
      <c r="I10" s="19">
        <v>19283.18</v>
      </c>
      <c r="J10" s="19">
        <v>49508.39</v>
      </c>
      <c r="K10" s="46">
        <f t="shared" si="2"/>
        <v>30225.21</v>
      </c>
      <c r="L10" s="19">
        <f t="shared" si="3"/>
        <v>121142.73000000001</v>
      </c>
      <c r="M10" s="19">
        <f t="shared" si="0"/>
        <v>116363.71</v>
      </c>
    </row>
    <row r="11" spans="1:13" ht="12.75">
      <c r="A11" s="8">
        <v>5</v>
      </c>
      <c r="B11" s="122" t="s">
        <v>6</v>
      </c>
      <c r="C11" s="123"/>
      <c r="D11" s="124"/>
      <c r="E11" s="11">
        <v>50763.83</v>
      </c>
      <c r="F11" s="15">
        <v>41322.37</v>
      </c>
      <c r="G11" s="16">
        <f t="shared" si="1"/>
        <v>0.8140120633135838</v>
      </c>
      <c r="H11" s="12">
        <v>104445.55</v>
      </c>
      <c r="I11" s="19">
        <v>0</v>
      </c>
      <c r="J11" s="19">
        <v>0</v>
      </c>
      <c r="K11" s="46">
        <f t="shared" si="2"/>
        <v>0</v>
      </c>
      <c r="L11" s="19">
        <f t="shared" si="3"/>
        <v>104445.55</v>
      </c>
      <c r="M11" s="19">
        <f t="shared" si="0"/>
        <v>63123.18</v>
      </c>
    </row>
    <row r="12" spans="1:13" ht="12.75">
      <c r="A12" s="8">
        <v>6</v>
      </c>
      <c r="B12" s="122" t="s">
        <v>7</v>
      </c>
      <c r="C12" s="123"/>
      <c r="D12" s="124"/>
      <c r="E12" s="11">
        <v>42881.47</v>
      </c>
      <c r="F12" s="15">
        <v>20185.41</v>
      </c>
      <c r="G12" s="16">
        <f t="shared" si="1"/>
        <v>0.47072570040159534</v>
      </c>
      <c r="H12" s="12">
        <v>42881.47</v>
      </c>
      <c r="I12" s="19">
        <v>25240.18</v>
      </c>
      <c r="J12" s="19">
        <v>26413.27</v>
      </c>
      <c r="K12" s="46">
        <v>1173.08</v>
      </c>
      <c r="L12" s="19">
        <f t="shared" si="3"/>
        <v>44054.55</v>
      </c>
      <c r="M12" s="19">
        <f t="shared" si="0"/>
        <v>23869.140000000003</v>
      </c>
    </row>
    <row r="13" spans="1:13" ht="12.75">
      <c r="A13" s="8">
        <v>7</v>
      </c>
      <c r="B13" s="122" t="s">
        <v>8</v>
      </c>
      <c r="C13" s="123"/>
      <c r="D13" s="124"/>
      <c r="E13" s="11">
        <v>1838153.03</v>
      </c>
      <c r="F13" s="15">
        <v>788103.69</v>
      </c>
      <c r="G13" s="16">
        <f t="shared" si="1"/>
        <v>0.4287475945351514</v>
      </c>
      <c r="H13" s="12">
        <v>1931917.14</v>
      </c>
      <c r="I13" s="19">
        <v>65743.5</v>
      </c>
      <c r="J13" s="19">
        <v>508096.42</v>
      </c>
      <c r="K13" s="46">
        <f t="shared" si="2"/>
        <v>442352.92</v>
      </c>
      <c r="L13" s="19">
        <f t="shared" si="3"/>
        <v>2374270.06</v>
      </c>
      <c r="M13" s="19">
        <f t="shared" si="0"/>
        <v>1586166.37</v>
      </c>
    </row>
    <row r="14" spans="1:13" ht="12.75">
      <c r="A14" s="8">
        <v>8</v>
      </c>
      <c r="B14" s="122" t="s">
        <v>9</v>
      </c>
      <c r="C14" s="123"/>
      <c r="D14" s="124"/>
      <c r="E14" s="11">
        <v>171686.23</v>
      </c>
      <c r="F14" s="15">
        <v>10700.31</v>
      </c>
      <c r="G14" s="16">
        <f t="shared" si="1"/>
        <v>0.06232480030576709</v>
      </c>
      <c r="H14" s="12">
        <v>177755.62</v>
      </c>
      <c r="I14" s="19">
        <v>43065.87</v>
      </c>
      <c r="J14" s="19">
        <v>66350.41</v>
      </c>
      <c r="K14" s="46">
        <f t="shared" si="2"/>
        <v>23284.54</v>
      </c>
      <c r="L14" s="19">
        <f t="shared" si="3"/>
        <v>201040.16</v>
      </c>
      <c r="M14" s="19">
        <f t="shared" si="0"/>
        <v>190339.85</v>
      </c>
    </row>
    <row r="15" spans="1:13" ht="12.75">
      <c r="A15" s="8">
        <v>9</v>
      </c>
      <c r="B15" s="122" t="s">
        <v>10</v>
      </c>
      <c r="C15" s="123"/>
      <c r="D15" s="124"/>
      <c r="E15" s="11">
        <v>186530.4</v>
      </c>
      <c r="F15" s="15">
        <v>6846.45</v>
      </c>
      <c r="G15" s="16">
        <f t="shared" si="1"/>
        <v>0.03670420478377787</v>
      </c>
      <c r="H15" s="12">
        <v>123292.72</v>
      </c>
      <c r="I15" s="19">
        <v>5814.4</v>
      </c>
      <c r="J15" s="19">
        <v>67705.51</v>
      </c>
      <c r="K15" s="46">
        <f t="shared" si="2"/>
        <v>61891.10999999999</v>
      </c>
      <c r="L15" s="19">
        <f t="shared" si="3"/>
        <v>185183.83</v>
      </c>
      <c r="M15" s="19">
        <f t="shared" si="0"/>
        <v>178337.37999999998</v>
      </c>
    </row>
    <row r="16" spans="1:13" ht="12.75">
      <c r="A16" s="8">
        <v>10</v>
      </c>
      <c r="B16" s="122" t="s">
        <v>11</v>
      </c>
      <c r="C16" s="123"/>
      <c r="D16" s="124"/>
      <c r="E16" s="11">
        <v>50180.49</v>
      </c>
      <c r="F16" s="29">
        <v>11199.29</v>
      </c>
      <c r="G16" s="16">
        <f t="shared" si="1"/>
        <v>0.22318016424311524</v>
      </c>
      <c r="H16" s="12">
        <v>50180.49</v>
      </c>
      <c r="I16" s="19">
        <v>0</v>
      </c>
      <c r="J16" s="19">
        <v>0</v>
      </c>
      <c r="K16" s="46">
        <f t="shared" si="2"/>
        <v>0</v>
      </c>
      <c r="L16" s="19">
        <f t="shared" si="3"/>
        <v>50180.49</v>
      </c>
      <c r="M16" s="19">
        <f t="shared" si="0"/>
        <v>38981.2</v>
      </c>
    </row>
    <row r="17" spans="1:13" ht="12.75">
      <c r="A17" s="8">
        <v>11</v>
      </c>
      <c r="B17" s="122" t="s">
        <v>12</v>
      </c>
      <c r="C17" s="123"/>
      <c r="D17" s="124"/>
      <c r="E17" s="11">
        <v>312565.56</v>
      </c>
      <c r="F17" s="15">
        <v>63503.79</v>
      </c>
      <c r="G17" s="16">
        <f t="shared" si="1"/>
        <v>0.20316950466327768</v>
      </c>
      <c r="H17" s="12">
        <v>312565.56</v>
      </c>
      <c r="I17" s="19">
        <v>40928.56</v>
      </c>
      <c r="J17" s="19">
        <v>27185.48</v>
      </c>
      <c r="K17" s="46">
        <f t="shared" si="2"/>
        <v>-13743.079999999998</v>
      </c>
      <c r="L17" s="19">
        <f t="shared" si="3"/>
        <v>298822.48</v>
      </c>
      <c r="M17" s="19">
        <f t="shared" si="0"/>
        <v>235318.68999999997</v>
      </c>
    </row>
    <row r="18" spans="1:13" ht="12.75">
      <c r="A18" s="8">
        <v>12</v>
      </c>
      <c r="B18" s="122" t="s">
        <v>13</v>
      </c>
      <c r="C18" s="123"/>
      <c r="D18" s="124"/>
      <c r="E18" s="11">
        <v>42540.08</v>
      </c>
      <c r="F18" s="15">
        <v>14290.8</v>
      </c>
      <c r="G18" s="16">
        <f t="shared" si="1"/>
        <v>0.33593730900365015</v>
      </c>
      <c r="H18" s="12">
        <v>42540.08</v>
      </c>
      <c r="I18" s="19">
        <v>0</v>
      </c>
      <c r="J18" s="19">
        <v>0</v>
      </c>
      <c r="K18" s="46">
        <f t="shared" si="2"/>
        <v>0</v>
      </c>
      <c r="L18" s="19">
        <f t="shared" si="3"/>
        <v>42540.08</v>
      </c>
      <c r="M18" s="19">
        <f t="shared" si="0"/>
        <v>28249.280000000002</v>
      </c>
    </row>
    <row r="19" spans="1:13" ht="12.75">
      <c r="A19" s="8">
        <v>13</v>
      </c>
      <c r="B19" s="122" t="s">
        <v>14</v>
      </c>
      <c r="C19" s="123"/>
      <c r="D19" s="124"/>
      <c r="E19" s="11">
        <v>12338.14</v>
      </c>
      <c r="F19" s="15">
        <v>0</v>
      </c>
      <c r="G19" s="16">
        <f t="shared" si="1"/>
        <v>0</v>
      </c>
      <c r="H19" s="12">
        <v>12338.14</v>
      </c>
      <c r="I19" s="19">
        <v>0</v>
      </c>
      <c r="J19" s="19">
        <v>0</v>
      </c>
      <c r="K19" s="46">
        <f t="shared" si="2"/>
        <v>0</v>
      </c>
      <c r="L19" s="19">
        <f t="shared" si="3"/>
        <v>12338.14</v>
      </c>
      <c r="M19" s="19">
        <f t="shared" si="0"/>
        <v>12338.14</v>
      </c>
    </row>
    <row r="20" spans="1:13" ht="12.75">
      <c r="A20" s="8">
        <v>14</v>
      </c>
      <c r="B20" s="122" t="s">
        <v>15</v>
      </c>
      <c r="C20" s="123"/>
      <c r="D20" s="124"/>
      <c r="E20" s="11">
        <v>101475</v>
      </c>
      <c r="F20" s="15">
        <v>0</v>
      </c>
      <c r="G20" s="16">
        <f t="shared" si="1"/>
        <v>0</v>
      </c>
      <c r="H20" s="12">
        <v>101475</v>
      </c>
      <c r="I20" s="19">
        <v>101475</v>
      </c>
      <c r="J20" s="19">
        <v>0</v>
      </c>
      <c r="K20" s="46">
        <f t="shared" si="2"/>
        <v>-101475</v>
      </c>
      <c r="L20" s="19">
        <f t="shared" si="3"/>
        <v>0</v>
      </c>
      <c r="M20" s="19">
        <f t="shared" si="0"/>
        <v>0</v>
      </c>
    </row>
    <row r="21" spans="1:13" ht="12.75">
      <c r="A21" s="8">
        <v>15</v>
      </c>
      <c r="B21" s="122" t="s">
        <v>16</v>
      </c>
      <c r="C21" s="123"/>
      <c r="D21" s="124"/>
      <c r="E21" s="11">
        <v>357589.09</v>
      </c>
      <c r="F21" s="15">
        <v>40543.04</v>
      </c>
      <c r="G21" s="16">
        <f t="shared" si="1"/>
        <v>0.11337885056839961</v>
      </c>
      <c r="H21" s="12">
        <v>357589.09</v>
      </c>
      <c r="I21" s="19">
        <v>40767.48</v>
      </c>
      <c r="J21" s="19">
        <v>151312.31</v>
      </c>
      <c r="K21" s="46">
        <f t="shared" si="2"/>
        <v>110544.82999999999</v>
      </c>
      <c r="L21" s="19">
        <f t="shared" si="3"/>
        <v>468133.92000000004</v>
      </c>
      <c r="M21" s="19">
        <f t="shared" si="0"/>
        <v>427590.88000000006</v>
      </c>
    </row>
    <row r="22" spans="1:13" ht="12.75">
      <c r="A22" s="8">
        <v>16</v>
      </c>
      <c r="B22" s="122" t="s">
        <v>17</v>
      </c>
      <c r="C22" s="123"/>
      <c r="D22" s="124"/>
      <c r="E22" s="11">
        <v>32500</v>
      </c>
      <c r="F22" s="15">
        <v>0</v>
      </c>
      <c r="G22" s="16">
        <f t="shared" si="1"/>
        <v>0</v>
      </c>
      <c r="H22" s="12">
        <v>32500</v>
      </c>
      <c r="I22" s="19">
        <v>0</v>
      </c>
      <c r="J22" s="19">
        <v>0</v>
      </c>
      <c r="K22" s="46">
        <f t="shared" si="2"/>
        <v>0</v>
      </c>
      <c r="L22" s="19">
        <f t="shared" si="3"/>
        <v>32500</v>
      </c>
      <c r="M22" s="19">
        <f t="shared" si="0"/>
        <v>32500</v>
      </c>
    </row>
    <row r="23" spans="1:13" ht="12.75">
      <c r="A23" s="8">
        <v>17</v>
      </c>
      <c r="B23" s="122" t="s">
        <v>18</v>
      </c>
      <c r="C23" s="123"/>
      <c r="D23" s="124"/>
      <c r="E23" s="11">
        <v>77318.46</v>
      </c>
      <c r="F23" s="15">
        <v>0</v>
      </c>
      <c r="G23" s="16">
        <f t="shared" si="1"/>
        <v>0</v>
      </c>
      <c r="H23" s="12">
        <v>77318.46</v>
      </c>
      <c r="I23" s="19">
        <v>2735.24</v>
      </c>
      <c r="J23" s="19">
        <v>13676.21</v>
      </c>
      <c r="K23" s="46">
        <f t="shared" si="2"/>
        <v>10940.97</v>
      </c>
      <c r="L23" s="19">
        <f t="shared" si="3"/>
        <v>88259.43000000001</v>
      </c>
      <c r="M23" s="19">
        <f t="shared" si="0"/>
        <v>88259.43000000001</v>
      </c>
    </row>
    <row r="24" spans="1:13" ht="12.75">
      <c r="A24" s="8">
        <v>18</v>
      </c>
      <c r="B24" s="122" t="s">
        <v>19</v>
      </c>
      <c r="C24" s="123"/>
      <c r="D24" s="124"/>
      <c r="E24" s="11">
        <v>16738.39</v>
      </c>
      <c r="F24" s="15">
        <v>0</v>
      </c>
      <c r="G24" s="16">
        <f t="shared" si="1"/>
        <v>0</v>
      </c>
      <c r="H24" s="12">
        <v>16738.39</v>
      </c>
      <c r="I24" s="19">
        <v>0</v>
      </c>
      <c r="J24" s="19">
        <v>0</v>
      </c>
      <c r="K24" s="46">
        <f t="shared" si="2"/>
        <v>0</v>
      </c>
      <c r="L24" s="19">
        <f t="shared" si="3"/>
        <v>16738.39</v>
      </c>
      <c r="M24" s="19">
        <f t="shared" si="0"/>
        <v>16738.39</v>
      </c>
    </row>
    <row r="25" spans="1:13" ht="12.75">
      <c r="A25" s="8">
        <v>19</v>
      </c>
      <c r="B25" s="122" t="s">
        <v>20</v>
      </c>
      <c r="C25" s="123"/>
      <c r="D25" s="124"/>
      <c r="E25" s="11">
        <v>171495.79</v>
      </c>
      <c r="F25" s="15">
        <v>111522.18</v>
      </c>
      <c r="G25" s="16">
        <f t="shared" si="1"/>
        <v>0.6502910654541432</v>
      </c>
      <c r="H25" s="12">
        <v>171495.79</v>
      </c>
      <c r="I25" s="19">
        <v>81502.92</v>
      </c>
      <c r="J25" s="19">
        <v>123011.02</v>
      </c>
      <c r="K25" s="46">
        <f t="shared" si="2"/>
        <v>41508.100000000006</v>
      </c>
      <c r="L25" s="19">
        <f t="shared" si="3"/>
        <v>213003.89</v>
      </c>
      <c r="M25" s="19">
        <f t="shared" si="0"/>
        <v>101481.71000000002</v>
      </c>
    </row>
    <row r="26" spans="1:13" ht="12.75">
      <c r="A26" s="8">
        <v>20</v>
      </c>
      <c r="B26" s="122" t="s">
        <v>21</v>
      </c>
      <c r="C26" s="123"/>
      <c r="D26" s="124"/>
      <c r="E26" s="11">
        <v>59696.5</v>
      </c>
      <c r="F26" s="15">
        <v>4503.66</v>
      </c>
      <c r="G26" s="16">
        <f t="shared" si="1"/>
        <v>0.07544261388858643</v>
      </c>
      <c r="H26" s="12">
        <v>59696.5</v>
      </c>
      <c r="I26" s="19">
        <v>5.42</v>
      </c>
      <c r="J26" s="19">
        <v>23846.4</v>
      </c>
      <c r="K26" s="46">
        <f t="shared" si="2"/>
        <v>23840.980000000003</v>
      </c>
      <c r="L26" s="19">
        <f t="shared" si="3"/>
        <v>83537.48000000001</v>
      </c>
      <c r="M26" s="19">
        <f t="shared" si="0"/>
        <v>79033.82</v>
      </c>
    </row>
    <row r="27" spans="1:13" ht="12.75">
      <c r="A27" s="8">
        <v>21</v>
      </c>
      <c r="B27" s="122" t="s">
        <v>22</v>
      </c>
      <c r="C27" s="123"/>
      <c r="D27" s="124"/>
      <c r="E27" s="11">
        <v>106814.92</v>
      </c>
      <c r="F27" s="15">
        <v>11029.54</v>
      </c>
      <c r="G27" s="16">
        <f t="shared" si="1"/>
        <v>0.10325842120183211</v>
      </c>
      <c r="H27" s="12">
        <v>106814.92</v>
      </c>
      <c r="I27" s="19">
        <v>0</v>
      </c>
      <c r="J27" s="19">
        <v>19879.06</v>
      </c>
      <c r="K27" s="46">
        <f t="shared" si="2"/>
        <v>19879.06</v>
      </c>
      <c r="L27" s="19">
        <f t="shared" si="3"/>
        <v>126693.98</v>
      </c>
      <c r="M27" s="19">
        <f t="shared" si="0"/>
        <v>115664.44</v>
      </c>
    </row>
    <row r="28" spans="1:13" ht="12.75">
      <c r="A28" s="8"/>
      <c r="B28" s="5"/>
      <c r="E28" s="5"/>
      <c r="H28" s="7"/>
      <c r="I28" s="19"/>
      <c r="J28" s="19"/>
      <c r="K28" s="19"/>
      <c r="L28" s="21"/>
      <c r="M28" s="19"/>
    </row>
    <row r="29" spans="1:13" ht="12.75">
      <c r="A29" s="8"/>
      <c r="B29" s="5"/>
      <c r="D29" s="36" t="s">
        <v>25</v>
      </c>
      <c r="E29" s="14">
        <v>4344516.53</v>
      </c>
      <c r="H29" s="14">
        <v>4561624.5</v>
      </c>
      <c r="I29" s="19">
        <f>SUM(I7:I28)</f>
        <v>426561.74999999994</v>
      </c>
      <c r="J29" s="19">
        <f>SUM(J7:J28)</f>
        <v>1076984.48</v>
      </c>
      <c r="K29" s="14">
        <f>SUM(K7:K27)</f>
        <v>650422.72</v>
      </c>
      <c r="L29" s="14">
        <f>SUM(L7:L27)</f>
        <v>5212032.220000001</v>
      </c>
      <c r="M29" s="19"/>
    </row>
    <row r="30" spans="1:13" ht="12.75">
      <c r="A30" s="8"/>
      <c r="B30" s="32"/>
      <c r="C30" s="33"/>
      <c r="D30" s="34"/>
      <c r="E30" s="11"/>
      <c r="F30" s="15"/>
      <c r="G30" s="16"/>
      <c r="H30" s="12"/>
      <c r="I30" s="19"/>
      <c r="J30" s="19"/>
      <c r="K30" s="19"/>
      <c r="L30" s="19"/>
      <c r="M30" s="19"/>
    </row>
    <row r="31" spans="1:13" ht="12.75">
      <c r="A31" s="8"/>
      <c r="B31" s="32" t="s">
        <v>38</v>
      </c>
      <c r="C31" s="33"/>
      <c r="D31" s="34"/>
      <c r="E31" s="12">
        <v>25000</v>
      </c>
      <c r="F31" s="15"/>
      <c r="G31" s="16"/>
      <c r="H31" s="12">
        <v>25000</v>
      </c>
      <c r="I31" s="19">
        <v>20000</v>
      </c>
      <c r="J31" s="19"/>
      <c r="K31" s="46">
        <f>SUM(J31-I31)</f>
        <v>-20000</v>
      </c>
      <c r="L31" s="19">
        <f>H31+K31</f>
        <v>5000</v>
      </c>
      <c r="M31" s="19"/>
    </row>
    <row r="32" spans="1:13" ht="12.75">
      <c r="A32" s="8"/>
      <c r="B32" s="32" t="s">
        <v>39</v>
      </c>
      <c r="C32" s="33"/>
      <c r="D32" s="34"/>
      <c r="E32" s="12">
        <v>30000</v>
      </c>
      <c r="F32" s="15"/>
      <c r="G32" s="16"/>
      <c r="H32" s="12">
        <v>30000</v>
      </c>
      <c r="I32" s="19">
        <v>25000</v>
      </c>
      <c r="J32" s="19"/>
      <c r="K32" s="46">
        <f>SUM(J32-I32)</f>
        <v>-25000</v>
      </c>
      <c r="L32" s="19">
        <f>H32+K32</f>
        <v>5000</v>
      </c>
      <c r="M32" s="19"/>
    </row>
    <row r="33" spans="1:13" ht="12.75">
      <c r="A33" s="3"/>
      <c r="B33" s="5"/>
      <c r="C33" s="6"/>
      <c r="D33" s="4"/>
      <c r="E33" s="7"/>
      <c r="F33" s="7"/>
      <c r="G33" s="7"/>
      <c r="I33" s="7"/>
      <c r="J33" s="7"/>
      <c r="K33" s="46"/>
      <c r="L33" s="21"/>
      <c r="M33" s="21"/>
    </row>
    <row r="34" spans="1:13" ht="12.75">
      <c r="A34" s="3"/>
      <c r="B34" s="5"/>
      <c r="C34" s="6"/>
      <c r="D34" s="36" t="s">
        <v>25</v>
      </c>
      <c r="E34" s="14">
        <f>SUM(H29:H32)</f>
        <v>4616624.5</v>
      </c>
      <c r="F34" s="14">
        <f>SUM(F7:F33)</f>
        <v>1554989.08</v>
      </c>
      <c r="G34" s="7"/>
      <c r="H34" s="14">
        <f>SUM(H29:H32)</f>
        <v>4616624.5</v>
      </c>
      <c r="I34" s="20">
        <f>SUM(I29:I32)</f>
        <v>471561.74999999994</v>
      </c>
      <c r="J34" s="13">
        <f>SUM(J7:J27)</f>
        <v>1076984.48</v>
      </c>
      <c r="K34" s="20">
        <f>SUM(K29:K32)</f>
        <v>605422.72</v>
      </c>
      <c r="L34" s="14">
        <f>SUM(L29:L32)</f>
        <v>5222032.220000001</v>
      </c>
      <c r="M34" s="20">
        <f>SUM(M7:M27)</f>
        <v>3657043.14</v>
      </c>
    </row>
    <row r="35" spans="1:13" ht="12.75">
      <c r="A35" s="3"/>
      <c r="B35" s="5"/>
      <c r="C35" s="6"/>
      <c r="D35" s="18"/>
      <c r="E35" s="14"/>
      <c r="F35" s="30"/>
      <c r="G35" s="7"/>
      <c r="H35" s="7"/>
      <c r="I35" s="24"/>
      <c r="J35" s="23"/>
      <c r="K35" s="27"/>
      <c r="L35" s="13"/>
      <c r="M35" s="20"/>
    </row>
    <row r="36" spans="1:13" ht="12.75">
      <c r="A36" s="3"/>
      <c r="B36" s="5"/>
      <c r="C36" s="6"/>
      <c r="D36" s="4" t="s">
        <v>31</v>
      </c>
      <c r="E36" s="31" t="s">
        <v>25</v>
      </c>
      <c r="F36" s="26">
        <v>217225.08</v>
      </c>
      <c r="G36" s="7"/>
      <c r="H36" s="7"/>
      <c r="I36" s="7"/>
      <c r="J36" s="7"/>
      <c r="K36" s="19"/>
      <c r="L36" s="21"/>
      <c r="M36" s="21"/>
    </row>
    <row r="37" spans="1:13" ht="12.75">
      <c r="A37" s="3"/>
      <c r="B37" s="6"/>
      <c r="C37" s="6"/>
      <c r="D37" s="4"/>
      <c r="E37" s="42"/>
      <c r="F37" s="26"/>
      <c r="G37" s="7"/>
      <c r="H37" s="7"/>
      <c r="I37" s="7"/>
      <c r="J37" s="7"/>
      <c r="K37" s="19"/>
      <c r="L37" s="21"/>
      <c r="M37" s="21"/>
    </row>
    <row r="38" spans="1:13" ht="12.75">
      <c r="A38" s="3"/>
      <c r="B38" s="6"/>
      <c r="C38" s="6"/>
      <c r="D38" s="25"/>
      <c r="F38" s="7"/>
      <c r="G38" s="7"/>
      <c r="H38" s="7"/>
      <c r="I38" s="7"/>
      <c r="J38" s="7"/>
      <c r="K38" s="17"/>
      <c r="L38" s="105"/>
      <c r="M38" s="21"/>
    </row>
    <row r="39" spans="1:13" ht="12.75">
      <c r="A39" s="8"/>
      <c r="B39" s="5"/>
      <c r="D39" s="47" t="s">
        <v>41</v>
      </c>
      <c r="E39" s="26">
        <f>K29</f>
        <v>650422.72</v>
      </c>
      <c r="G39" s="6"/>
      <c r="H39" s="48">
        <f>SUM(E39/E29)</f>
        <v>0.14971118546992845</v>
      </c>
      <c r="I39" s="5"/>
      <c r="J39" s="7"/>
      <c r="K39" s="5"/>
      <c r="L39" s="105"/>
      <c r="M39" s="21"/>
    </row>
    <row r="40" spans="1:12" ht="12.75">
      <c r="A40" s="8"/>
      <c r="B40" s="5"/>
      <c r="C40" s="6"/>
      <c r="D40" s="47" t="s">
        <v>43</v>
      </c>
      <c r="E40" s="26">
        <f>SUM(H29-E29)</f>
        <v>217107.96999999974</v>
      </c>
      <c r="H40" s="48">
        <f>SUM(E40/E29)</f>
        <v>0.04997287235548848</v>
      </c>
      <c r="I40" s="5"/>
      <c r="J40" s="37"/>
      <c r="K40" s="26"/>
      <c r="L40" s="38"/>
    </row>
    <row r="41" spans="1:12" ht="12.75">
      <c r="A41" s="8"/>
      <c r="B41" s="6"/>
      <c r="C41" s="6"/>
      <c r="D41" s="36"/>
      <c r="H41" s="5"/>
      <c r="I41" s="5"/>
      <c r="J41" s="37"/>
      <c r="K41" s="39"/>
      <c r="L41" s="40"/>
    </row>
    <row r="42" spans="1:9" ht="12.75">
      <c r="A42" s="8"/>
      <c r="B42" s="6"/>
      <c r="C42" s="6"/>
      <c r="D42" s="47" t="s">
        <v>44</v>
      </c>
      <c r="E42" s="41">
        <f>SUM(E39:E40)</f>
        <v>867530.6899999997</v>
      </c>
      <c r="H42" s="48">
        <f>E42/E29</f>
        <v>0.19968405782541693</v>
      </c>
      <c r="I42" s="109" t="s">
        <v>99</v>
      </c>
    </row>
    <row r="43" spans="1:3" ht="12.75">
      <c r="A43" s="8"/>
      <c r="B43" s="6"/>
      <c r="C43" s="6"/>
    </row>
    <row r="44" spans="1:12" ht="12.75">
      <c r="A44" s="8"/>
      <c r="B44" s="126"/>
      <c r="C44" s="126"/>
      <c r="D44" s="126"/>
      <c r="E44" s="6"/>
      <c r="K44" s="126" t="s">
        <v>35</v>
      </c>
      <c r="L44" s="126"/>
    </row>
    <row r="45" spans="1:12" ht="12.75">
      <c r="A45" s="8"/>
      <c r="B45" s="125"/>
      <c r="C45" s="125"/>
      <c r="D45" s="125"/>
      <c r="E45" s="6"/>
      <c r="H45" s="127" t="s">
        <v>36</v>
      </c>
      <c r="I45" s="127"/>
      <c r="K45" s="125" t="s">
        <v>37</v>
      </c>
      <c r="L45" s="125"/>
    </row>
    <row r="46" spans="1:9" ht="12.75">
      <c r="A46" s="8"/>
      <c r="B46" s="6"/>
      <c r="C46" s="6"/>
      <c r="D46" s="6"/>
      <c r="E46" s="6"/>
      <c r="H46" s="125" t="s">
        <v>42</v>
      </c>
      <c r="I46" s="125"/>
    </row>
    <row r="47" spans="1:5" ht="12.75">
      <c r="A47" s="8"/>
      <c r="B47" s="6"/>
      <c r="C47" s="6"/>
      <c r="D47" s="6"/>
      <c r="E47" s="6"/>
    </row>
    <row r="48" spans="1:5" ht="12.75">
      <c r="A48" s="8"/>
      <c r="B48" s="6"/>
      <c r="C48" s="6"/>
      <c r="D48" s="6"/>
      <c r="E48" s="6"/>
    </row>
    <row r="49" spans="1:5" ht="12.75">
      <c r="A49" s="8"/>
      <c r="B49" s="6"/>
      <c r="C49" s="6"/>
      <c r="D49" s="6"/>
      <c r="E49" s="6"/>
    </row>
    <row r="50" spans="1:5" ht="12.75">
      <c r="A50" s="8"/>
      <c r="B50" s="6"/>
      <c r="C50" s="6"/>
      <c r="D50" s="6"/>
      <c r="E50" s="6"/>
    </row>
    <row r="51" spans="1:5" ht="12.75">
      <c r="A51" s="8"/>
      <c r="B51" s="6"/>
      <c r="C51" s="6"/>
      <c r="D51" s="6"/>
      <c r="E51" s="6"/>
    </row>
    <row r="52" spans="1:5" ht="12.75">
      <c r="A52" s="8"/>
      <c r="B52" s="6"/>
      <c r="C52" s="6"/>
      <c r="D52" s="6"/>
      <c r="E52" s="6"/>
    </row>
    <row r="53" spans="1:5" ht="12.75">
      <c r="A53" s="8"/>
      <c r="B53" s="6"/>
      <c r="C53" s="6"/>
      <c r="D53" s="6"/>
      <c r="E53" s="6"/>
    </row>
    <row r="54" spans="1:5" ht="12.75">
      <c r="A54" s="8"/>
      <c r="B54" s="6"/>
      <c r="C54" s="6"/>
      <c r="D54" s="6"/>
      <c r="E54" s="6"/>
    </row>
    <row r="55" spans="1:5" ht="12.75">
      <c r="A55" s="8"/>
      <c r="B55" s="6"/>
      <c r="C55" s="6"/>
      <c r="D55" s="6"/>
      <c r="E55" s="6"/>
    </row>
    <row r="56" spans="1:5" ht="12.75">
      <c r="A56" s="8"/>
      <c r="B56" s="6"/>
      <c r="C56" s="6"/>
      <c r="D56" s="6"/>
      <c r="E56" s="6"/>
    </row>
    <row r="57" spans="1:5" ht="12.75">
      <c r="A57" s="8"/>
      <c r="B57" s="6"/>
      <c r="C57" s="6"/>
      <c r="D57" s="6"/>
      <c r="E57" s="6"/>
    </row>
    <row r="58" spans="1:5" ht="12.75">
      <c r="A58" s="8"/>
      <c r="B58" s="6"/>
      <c r="C58" s="6"/>
      <c r="D58" s="6"/>
      <c r="E58" s="6"/>
    </row>
    <row r="59" spans="1:5" ht="12.75">
      <c r="A59" s="8"/>
      <c r="B59" s="6"/>
      <c r="C59" s="6"/>
      <c r="D59" s="6"/>
      <c r="E59" s="6"/>
    </row>
    <row r="60" spans="1:5" ht="12.75">
      <c r="A60" s="8"/>
      <c r="B60" s="6"/>
      <c r="C60" s="6"/>
      <c r="D60" s="6"/>
      <c r="E60" s="6"/>
    </row>
    <row r="61" spans="1:5" ht="12.75">
      <c r="A61" s="8"/>
      <c r="B61" s="6"/>
      <c r="C61" s="6"/>
      <c r="D61" s="6"/>
      <c r="E61" s="6"/>
    </row>
  </sheetData>
  <mergeCells count="30">
    <mergeCell ref="H46:I46"/>
    <mergeCell ref="K45:L45"/>
    <mergeCell ref="K44:L44"/>
    <mergeCell ref="B24:D24"/>
    <mergeCell ref="B25:D25"/>
    <mergeCell ref="B26:D26"/>
    <mergeCell ref="B27:D27"/>
    <mergeCell ref="B44:D44"/>
    <mergeCell ref="B45:D45"/>
    <mergeCell ref="H45:I45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1:I2"/>
    <mergeCell ref="C4:G4"/>
    <mergeCell ref="B6:D6"/>
    <mergeCell ref="B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&amp;L&amp;6&amp;F</oddHeader>
  </headerFooter>
  <ignoredErrors>
    <ignoredError sqref="J34 L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tabSelected="1" zoomScale="75" zoomScaleNormal="75" zoomScaleSheetLayoutView="25" workbookViewId="0" topLeftCell="A2543">
      <pane xSplit="3750" ySplit="1290" topLeftCell="A1" activePane="bottomRight" state="split"/>
      <selection pane="topLeft" activeCell="A23" sqref="A23"/>
      <selection pane="topRight" activeCell="A2546" sqref="A2546"/>
      <selection pane="bottomLeft" activeCell="A10" sqref="A10"/>
      <selection pane="bottomRight" activeCell="D6" sqref="D6:G6"/>
    </sheetView>
  </sheetViews>
  <sheetFormatPr defaultColWidth="9.140625" defaultRowHeight="12.75" outlineLevelCol="1"/>
  <cols>
    <col min="1" max="1" width="4.57421875" style="0" customWidth="1"/>
    <col min="5" max="5" width="11.00390625" style="0" customWidth="1"/>
    <col min="6" max="6" width="15.00390625" style="0" customWidth="1"/>
    <col min="7" max="7" width="24.28125" style="0" customWidth="1"/>
    <col min="8" max="8" width="2.140625" style="0" customWidth="1"/>
    <col min="9" max="9" width="11.28125" style="0" customWidth="1"/>
    <col min="10" max="10" width="13.7109375" style="0" bestFit="1" customWidth="1"/>
    <col min="11" max="11" width="16.8515625" style="0" customWidth="1"/>
    <col min="12" max="12" width="5.00390625" style="0" customWidth="1"/>
    <col min="13" max="13" width="10.28125" style="0" hidden="1" customWidth="1" outlineLevel="1"/>
    <col min="14" max="14" width="12.00390625" style="0" hidden="1" customWidth="1" outlineLevel="1"/>
    <col min="15" max="15" width="12.28125" style="0" hidden="1" customWidth="1" outlineLevel="1"/>
    <col min="16" max="16" width="4.140625" style="0" hidden="1" customWidth="1" outlineLevel="1"/>
    <col min="17" max="17" width="13.421875" style="0" customWidth="1" collapsed="1"/>
    <col min="18" max="19" width="13.421875" style="0" customWidth="1"/>
    <col min="20" max="20" width="4.28125" style="0" hidden="1" customWidth="1" outlineLevel="1"/>
    <col min="21" max="21" width="10.7109375" style="0" hidden="1" customWidth="1" outlineLevel="1"/>
    <col min="22" max="22" width="12.28125" style="0" hidden="1" customWidth="1" outlineLevel="1"/>
    <col min="23" max="23" width="12.8515625" style="0" hidden="1" customWidth="1" outlineLevel="1"/>
    <col min="24" max="24" width="17.00390625" style="0" hidden="1" customWidth="1" outlineLevel="1"/>
    <col min="25" max="25" width="10.00390625" style="0" hidden="1" customWidth="1" outlineLevel="1"/>
    <col min="26" max="26" width="12.57421875" style="0" hidden="1" customWidth="1" outlineLevel="1"/>
    <col min="27" max="27" width="2.8515625" style="0" customWidth="1" collapsed="1"/>
    <col min="28" max="28" width="12.00390625" style="0" customWidth="1"/>
    <col min="29" max="29" width="16.421875" style="0" customWidth="1"/>
    <col min="30" max="30" width="13.28125" style="0" customWidth="1"/>
  </cols>
  <sheetData>
    <row r="1" spans="4:7" ht="27.75">
      <c r="D1" s="137" t="s">
        <v>47</v>
      </c>
      <c r="E1" s="137"/>
      <c r="F1" s="137"/>
      <c r="G1" s="137"/>
    </row>
    <row r="2" spans="2:10" ht="14.25">
      <c r="B2" s="138" t="s">
        <v>107</v>
      </c>
      <c r="C2" s="138"/>
      <c r="D2" s="138"/>
      <c r="E2" s="138"/>
      <c r="F2" s="138"/>
      <c r="G2" s="138"/>
      <c r="H2" s="138"/>
      <c r="I2" s="138"/>
      <c r="J2" s="138"/>
    </row>
    <row r="3" spans="4:7" ht="12.75">
      <c r="D3" s="49"/>
      <c r="E3" s="49"/>
      <c r="F3" s="50"/>
      <c r="G3" s="49"/>
    </row>
    <row r="4" spans="4:9" ht="18">
      <c r="D4" s="139" t="s">
        <v>48</v>
      </c>
      <c r="E4" s="139"/>
      <c r="F4" s="139"/>
      <c r="G4" s="139"/>
      <c r="I4" s="51"/>
    </row>
    <row r="5" spans="4:7" ht="12.75">
      <c r="D5" s="49"/>
      <c r="E5" s="49"/>
      <c r="F5" s="52"/>
      <c r="G5" s="49"/>
    </row>
    <row r="6" spans="2:7" ht="15.75">
      <c r="B6" s="53"/>
      <c r="D6" s="140" t="s">
        <v>49</v>
      </c>
      <c r="E6" s="140"/>
      <c r="F6" s="140"/>
      <c r="G6" s="140"/>
    </row>
    <row r="7" spans="4:23" ht="18">
      <c r="D7" s="135" t="s">
        <v>50</v>
      </c>
      <c r="E7" s="135"/>
      <c r="F7" s="135"/>
      <c r="G7" s="135"/>
      <c r="V7" s="71"/>
      <c r="W7" s="103"/>
    </row>
    <row r="8" spans="4:7" ht="12.75">
      <c r="D8" s="52"/>
      <c r="E8" s="49"/>
      <c r="F8" s="54"/>
      <c r="G8" s="49"/>
    </row>
    <row r="9" spans="4:7" ht="20.25">
      <c r="D9" s="128" t="s">
        <v>102</v>
      </c>
      <c r="E9" s="129"/>
      <c r="F9" s="129"/>
      <c r="G9" s="130"/>
    </row>
    <row r="10" spans="4:7" ht="20.25">
      <c r="D10" s="55"/>
      <c r="E10" s="55"/>
      <c r="F10" s="55"/>
      <c r="G10" s="55"/>
    </row>
    <row r="11" spans="4:30" ht="47.25" customHeight="1">
      <c r="D11" s="55"/>
      <c r="E11" s="136" t="s">
        <v>100</v>
      </c>
      <c r="F11" s="129"/>
      <c r="G11" s="130"/>
      <c r="I11" s="128" t="s">
        <v>101</v>
      </c>
      <c r="J11" s="129"/>
      <c r="K11" s="130"/>
      <c r="L11" s="55"/>
      <c r="M11" s="132" t="s">
        <v>51</v>
      </c>
      <c r="N11" s="133"/>
      <c r="O11" s="134"/>
      <c r="P11" s="55"/>
      <c r="Q11" s="128" t="s">
        <v>103</v>
      </c>
      <c r="R11" s="129"/>
      <c r="S11" s="130"/>
      <c r="AB11" s="128" t="s">
        <v>105</v>
      </c>
      <c r="AC11" s="129"/>
      <c r="AD11" s="130"/>
    </row>
    <row r="12" spans="2:30" ht="12.75">
      <c r="B12" s="53"/>
      <c r="F12" s="54"/>
      <c r="G12" s="52" t="s">
        <v>52</v>
      </c>
      <c r="H12" s="56"/>
      <c r="J12" s="54"/>
      <c r="K12" s="52" t="s">
        <v>52</v>
      </c>
      <c r="L12" s="52"/>
      <c r="P12" s="52"/>
      <c r="R12" s="54"/>
      <c r="S12" s="52" t="s">
        <v>52</v>
      </c>
      <c r="AC12" s="54"/>
      <c r="AD12" s="52" t="s">
        <v>52</v>
      </c>
    </row>
    <row r="13" spans="1:30" ht="12.75">
      <c r="A13" s="53"/>
      <c r="B13" s="57" t="s">
        <v>53</v>
      </c>
      <c r="C13" s="58"/>
      <c r="D13" s="58"/>
      <c r="E13" s="58"/>
      <c r="F13" s="58"/>
      <c r="G13" s="59">
        <f>F19+F21</f>
        <v>4399516.53</v>
      </c>
      <c r="H13" s="53"/>
      <c r="I13" s="57"/>
      <c r="J13" s="60"/>
      <c r="K13" s="61">
        <f>SUM(J19+J21)</f>
        <v>4616624.5</v>
      </c>
      <c r="L13" s="103"/>
      <c r="M13" s="57"/>
      <c r="N13" s="60"/>
      <c r="O13" s="61">
        <f>SUM(N19+N21)</f>
        <v>605422.7200000007</v>
      </c>
      <c r="P13" s="103"/>
      <c r="Q13" s="57"/>
      <c r="R13" s="60"/>
      <c r="S13" s="61">
        <f>SUM(R19+R21)+15</f>
        <v>5222047.220000001</v>
      </c>
      <c r="T13" s="53"/>
      <c r="X13" s="53"/>
      <c r="AB13" s="57"/>
      <c r="AC13" s="60"/>
      <c r="AD13" s="61">
        <f>S13</f>
        <v>5222047.220000001</v>
      </c>
    </row>
    <row r="14" spans="4:30" ht="12.75">
      <c r="D14" s="54" t="s">
        <v>54</v>
      </c>
      <c r="F14" s="54"/>
      <c r="G14" s="56"/>
      <c r="J14" s="54"/>
      <c r="K14" s="56"/>
      <c r="L14" s="56"/>
      <c r="N14" s="54"/>
      <c r="O14" s="56"/>
      <c r="P14" s="56"/>
      <c r="R14" s="54"/>
      <c r="S14" s="56"/>
      <c r="AC14" s="54"/>
      <c r="AD14" s="56"/>
    </row>
    <row r="15" spans="2:30" ht="12.75">
      <c r="B15" s="63"/>
      <c r="C15" s="64"/>
      <c r="D15" s="65"/>
      <c r="E15" s="65" t="s">
        <v>55</v>
      </c>
      <c r="F15" s="65"/>
      <c r="G15" s="61"/>
      <c r="I15" s="63"/>
      <c r="J15" s="61"/>
      <c r="K15" s="56"/>
      <c r="L15" s="56"/>
      <c r="M15" s="57"/>
      <c r="N15" s="66">
        <f>J15-G15</f>
        <v>0</v>
      </c>
      <c r="O15" s="56"/>
      <c r="P15" s="56"/>
      <c r="Q15" s="63"/>
      <c r="R15" s="61"/>
      <c r="S15" s="56"/>
      <c r="AB15" s="63"/>
      <c r="AC15" s="61"/>
      <c r="AD15" s="56"/>
    </row>
    <row r="16" spans="4:30" ht="12.75">
      <c r="D16" s="54"/>
      <c r="E16" s="54"/>
      <c r="F16" s="67"/>
      <c r="G16" s="56"/>
      <c r="J16" s="54"/>
      <c r="K16" s="56"/>
      <c r="L16" s="56"/>
      <c r="N16" s="54"/>
      <c r="O16" s="56"/>
      <c r="P16" s="56"/>
      <c r="R16" s="54"/>
      <c r="S16" s="56"/>
      <c r="AC16" s="54"/>
      <c r="AD16" s="56"/>
    </row>
    <row r="17" spans="2:29" ht="12.75">
      <c r="B17" s="63"/>
      <c r="C17" s="64"/>
      <c r="D17" s="60" t="s">
        <v>56</v>
      </c>
      <c r="E17" s="58"/>
      <c r="F17" s="66">
        <v>4344516.53</v>
      </c>
      <c r="G17" s="71"/>
      <c r="I17" s="57"/>
      <c r="J17" s="66">
        <f>QuaRiep!H29</f>
        <v>4561624.5</v>
      </c>
      <c r="M17" s="57"/>
      <c r="N17" s="66">
        <f>R17-J17+15</f>
        <v>650422.7200000007</v>
      </c>
      <c r="Q17" s="57"/>
      <c r="R17" s="66">
        <f>QuaRiep!L29</f>
        <v>5212032.220000001</v>
      </c>
      <c r="X17" s="71"/>
      <c r="AB17" s="57"/>
      <c r="AC17" s="66">
        <f>R17</f>
        <v>5212032.220000001</v>
      </c>
    </row>
    <row r="18" spans="2:29" ht="12.75">
      <c r="B18" s="40"/>
      <c r="C18" s="40"/>
      <c r="D18" s="68"/>
      <c r="E18" s="69"/>
      <c r="F18" s="70"/>
      <c r="G18" s="71"/>
      <c r="I18" s="69"/>
      <c r="J18" s="70"/>
      <c r="M18" s="69"/>
      <c r="N18" s="70"/>
      <c r="Q18" s="69"/>
      <c r="R18" s="70"/>
      <c r="AB18" s="69"/>
      <c r="AC18" s="70"/>
    </row>
    <row r="19" spans="2:29" ht="12.75">
      <c r="B19" s="40"/>
      <c r="C19" s="40"/>
      <c r="D19" s="68" t="s">
        <v>57</v>
      </c>
      <c r="E19" s="69"/>
      <c r="F19" s="70">
        <f>F17-F23</f>
        <v>4042627.89</v>
      </c>
      <c r="G19" s="71"/>
      <c r="I19" s="69"/>
      <c r="J19" s="70">
        <f>J17-J23</f>
        <v>4259735.86</v>
      </c>
      <c r="M19" s="69"/>
      <c r="N19" s="66">
        <f>R19-J19+15</f>
        <v>650422.7200000007</v>
      </c>
      <c r="O19" s="40"/>
      <c r="Q19" s="69"/>
      <c r="R19" s="70">
        <f>R17-R23</f>
        <v>4910143.580000001</v>
      </c>
      <c r="AB19" s="69"/>
      <c r="AC19" s="70">
        <f>AC17-AC23</f>
        <v>4910143.580000001</v>
      </c>
    </row>
    <row r="20" spans="4:29" ht="12.75">
      <c r="D20" s="72"/>
      <c r="E20" s="53"/>
      <c r="F20" s="73"/>
      <c r="I20" s="53"/>
      <c r="J20" s="73"/>
      <c r="M20" s="53"/>
      <c r="N20" s="73"/>
      <c r="Q20" s="53"/>
      <c r="R20" s="73"/>
      <c r="Y20" s="71"/>
      <c r="AB20" s="53"/>
      <c r="AC20" s="73"/>
    </row>
    <row r="21" spans="2:29" ht="12.75">
      <c r="B21" s="74"/>
      <c r="C21" s="64"/>
      <c r="D21" s="60" t="s">
        <v>58</v>
      </c>
      <c r="E21" s="64"/>
      <c r="F21" s="66">
        <f>SUM(F23:F25)</f>
        <v>356888.64</v>
      </c>
      <c r="I21" s="63"/>
      <c r="J21" s="66">
        <f>SUM(J23:J25)</f>
        <v>356888.64</v>
      </c>
      <c r="M21" s="63"/>
      <c r="N21" s="66">
        <f>R21-J21</f>
        <v>-45000</v>
      </c>
      <c r="O21" s="66"/>
      <c r="Q21" s="63"/>
      <c r="R21" s="66">
        <f>SUM(R23:R25)</f>
        <v>311888.64</v>
      </c>
      <c r="AB21" s="63"/>
      <c r="AC21" s="66">
        <f>SUM(AC23:AC25)</f>
        <v>311888.64</v>
      </c>
    </row>
    <row r="22" spans="2:29" ht="12.75">
      <c r="B22" s="75"/>
      <c r="C22" s="40"/>
      <c r="D22" s="76" t="s">
        <v>59</v>
      </c>
      <c r="E22" s="40"/>
      <c r="F22" s="70"/>
      <c r="I22" s="40"/>
      <c r="J22" s="77">
        <v>217107.97</v>
      </c>
      <c r="M22" s="40"/>
      <c r="N22" s="70"/>
      <c r="Q22" s="40"/>
      <c r="R22" s="77">
        <v>650422.72</v>
      </c>
      <c r="AB22" s="40"/>
      <c r="AC22" s="77">
        <v>650422.72</v>
      </c>
    </row>
    <row r="23" spans="4:29" ht="12.75">
      <c r="D23" s="54" t="s">
        <v>60</v>
      </c>
      <c r="F23" s="78">
        <v>301888.64</v>
      </c>
      <c r="J23" s="78">
        <f>F23</f>
        <v>301888.64</v>
      </c>
      <c r="N23" s="78">
        <f>J23-F23</f>
        <v>0</v>
      </c>
      <c r="R23" s="78">
        <f>J23</f>
        <v>301888.64</v>
      </c>
      <c r="AC23" s="78">
        <f>R23</f>
        <v>301888.64</v>
      </c>
    </row>
    <row r="24" spans="4:29" ht="12.75">
      <c r="D24" s="54" t="s">
        <v>61</v>
      </c>
      <c r="F24" s="78">
        <v>30000</v>
      </c>
      <c r="J24" s="78">
        <v>30000</v>
      </c>
      <c r="N24" s="78">
        <f>R24-J24</f>
        <v>-25000</v>
      </c>
      <c r="R24" s="78">
        <v>5000</v>
      </c>
      <c r="X24" s="71"/>
      <c r="AC24" s="78">
        <v>5000</v>
      </c>
    </row>
    <row r="25" spans="4:29" ht="12.75">
      <c r="D25" s="54" t="s">
        <v>62</v>
      </c>
      <c r="F25" s="78">
        <v>25000</v>
      </c>
      <c r="J25" s="78">
        <v>25000</v>
      </c>
      <c r="N25" s="78">
        <f>R25-J25</f>
        <v>-20000</v>
      </c>
      <c r="R25" s="78">
        <v>5000</v>
      </c>
      <c r="AC25" s="78">
        <v>5000</v>
      </c>
    </row>
    <row r="26" spans="6:29" ht="12.75">
      <c r="F26" s="78"/>
      <c r="J26" s="78"/>
      <c r="N26" s="78"/>
      <c r="R26" s="78"/>
      <c r="AC26" s="78"/>
    </row>
    <row r="27" spans="1:30" ht="12.75">
      <c r="A27" s="53"/>
      <c r="B27" s="57" t="s">
        <v>63</v>
      </c>
      <c r="C27" s="58"/>
      <c r="D27" s="58"/>
      <c r="E27" s="58"/>
      <c r="F27" s="60"/>
      <c r="G27" s="61">
        <f>+SUM(F29:F58)</f>
        <v>1246517.823</v>
      </c>
      <c r="H27" s="53"/>
      <c r="I27" s="57"/>
      <c r="J27" s="60"/>
      <c r="K27" s="61">
        <f>+SUM(J29:J58)</f>
        <v>1029409.8469</v>
      </c>
      <c r="L27" s="103"/>
      <c r="M27" s="57"/>
      <c r="N27" s="60"/>
      <c r="O27" s="61">
        <f>+SUM(N29:N58)</f>
        <v>-136474.2921999999</v>
      </c>
      <c r="P27" s="103"/>
      <c r="Q27" s="57"/>
      <c r="R27" s="60"/>
      <c r="S27" s="61">
        <f>+SUM(R29:R58)</f>
        <v>892935.5547000001</v>
      </c>
      <c r="T27" s="53"/>
      <c r="X27" s="53"/>
      <c r="AB27" s="57"/>
      <c r="AC27" s="60"/>
      <c r="AD27" s="61">
        <f>+SUM(AC29:AC58)</f>
        <v>892935.5467</v>
      </c>
    </row>
    <row r="28" spans="6:30" ht="12.75">
      <c r="F28" s="54"/>
      <c r="G28" s="56"/>
      <c r="J28" s="54"/>
      <c r="K28" s="56"/>
      <c r="L28" s="56"/>
      <c r="N28" s="54"/>
      <c r="O28" s="56"/>
      <c r="P28" s="56"/>
      <c r="R28" s="54"/>
      <c r="S28" s="56"/>
      <c r="AC28" s="54"/>
      <c r="AD28" s="56"/>
    </row>
    <row r="29" spans="1:29" ht="12.75">
      <c r="A29">
        <v>1</v>
      </c>
      <c r="B29" t="s">
        <v>64</v>
      </c>
      <c r="F29" s="78">
        <v>0</v>
      </c>
      <c r="J29" s="78">
        <v>0</v>
      </c>
      <c r="N29" s="78">
        <f>J29-F29</f>
        <v>0</v>
      </c>
      <c r="R29" s="78">
        <v>0</v>
      </c>
      <c r="AC29" s="78">
        <v>0</v>
      </c>
    </row>
    <row r="30" spans="1:29" ht="12.75">
      <c r="A30">
        <v>2</v>
      </c>
      <c r="B30" s="79" t="s">
        <v>65</v>
      </c>
      <c r="C30" s="79"/>
      <c r="D30" s="79"/>
      <c r="E30" s="79"/>
      <c r="F30" s="80">
        <v>25000</v>
      </c>
      <c r="I30" s="79"/>
      <c r="J30" s="80">
        <v>20000</v>
      </c>
      <c r="M30" s="79"/>
      <c r="N30" s="80">
        <f>SUM(R30-J30)</f>
        <v>-15000</v>
      </c>
      <c r="Q30" s="79"/>
      <c r="R30" s="80">
        <v>5000</v>
      </c>
      <c r="AB30" s="79"/>
      <c r="AC30" s="80">
        <v>5000</v>
      </c>
    </row>
    <row r="31" spans="1:29" ht="12.75">
      <c r="A31">
        <v>3</v>
      </c>
      <c r="B31" t="s">
        <v>66</v>
      </c>
      <c r="F31" s="78">
        <v>0</v>
      </c>
      <c r="J31" s="78">
        <v>0</v>
      </c>
      <c r="N31" s="78">
        <f>J31-F31</f>
        <v>0</v>
      </c>
      <c r="R31" s="78">
        <v>0</v>
      </c>
      <c r="X31" s="71"/>
      <c r="AC31" s="78">
        <v>0</v>
      </c>
    </row>
    <row r="32" spans="2:29" ht="12.75">
      <c r="B32" s="54" t="s">
        <v>67</v>
      </c>
      <c r="D32" s="81" t="s">
        <v>68</v>
      </c>
      <c r="E32" s="82">
        <v>0</v>
      </c>
      <c r="F32" s="78"/>
      <c r="I32" s="82">
        <v>0</v>
      </c>
      <c r="J32" s="78"/>
      <c r="M32" s="82">
        <v>0</v>
      </c>
      <c r="N32" s="78"/>
      <c r="Q32" s="82">
        <v>0</v>
      </c>
      <c r="R32" s="78"/>
      <c r="AB32" s="82">
        <v>0</v>
      </c>
      <c r="AC32" s="78"/>
    </row>
    <row r="33" spans="2:29" ht="12.75">
      <c r="B33" s="54" t="s">
        <v>69</v>
      </c>
      <c r="D33" s="81" t="s">
        <v>68</v>
      </c>
      <c r="E33" s="82">
        <v>0</v>
      </c>
      <c r="F33" s="78"/>
      <c r="I33" s="82">
        <v>0</v>
      </c>
      <c r="J33" s="78"/>
      <c r="M33" s="82">
        <v>0</v>
      </c>
      <c r="N33" s="78"/>
      <c r="Q33" s="82">
        <v>0</v>
      </c>
      <c r="R33" s="78"/>
      <c r="X33" s="71"/>
      <c r="AB33" s="82">
        <v>0</v>
      </c>
      <c r="AC33" s="78"/>
    </row>
    <row r="34" spans="2:29" ht="12.75">
      <c r="B34" s="54" t="s">
        <v>70</v>
      </c>
      <c r="D34" s="81" t="s">
        <v>68</v>
      </c>
      <c r="E34" s="82">
        <v>0</v>
      </c>
      <c r="F34" s="78"/>
      <c r="I34" s="82">
        <v>0</v>
      </c>
      <c r="J34" s="78"/>
      <c r="M34" s="82">
        <v>0</v>
      </c>
      <c r="N34" s="78"/>
      <c r="Q34" s="82">
        <v>0</v>
      </c>
      <c r="R34" s="78"/>
      <c r="AB34" s="82">
        <v>0</v>
      </c>
      <c r="AC34" s="78"/>
    </row>
    <row r="35" spans="2:29" ht="12.75">
      <c r="B35" s="54" t="s">
        <v>71</v>
      </c>
      <c r="D35" s="81" t="s">
        <v>68</v>
      </c>
      <c r="E35" s="82">
        <v>0</v>
      </c>
      <c r="F35" s="78"/>
      <c r="I35" s="82">
        <v>0</v>
      </c>
      <c r="J35" s="78"/>
      <c r="M35" s="82">
        <v>0</v>
      </c>
      <c r="N35" s="78"/>
      <c r="Q35" s="82">
        <v>0</v>
      </c>
      <c r="R35" s="78"/>
      <c r="X35" s="106"/>
      <c r="AB35" s="82">
        <v>0</v>
      </c>
      <c r="AC35" s="78"/>
    </row>
    <row r="36" spans="1:29" ht="12.75">
      <c r="A36">
        <v>4</v>
      </c>
      <c r="B36" s="79" t="s">
        <v>72</v>
      </c>
      <c r="C36" s="79"/>
      <c r="D36" s="79"/>
      <c r="E36" s="79"/>
      <c r="F36" s="80">
        <f>SUM(E37:E38)</f>
        <v>180010.16999999998</v>
      </c>
      <c r="G36" s="71"/>
      <c r="I36" s="79"/>
      <c r="J36" s="80">
        <f>SUM(I37:I38)</f>
        <v>87130.27</v>
      </c>
      <c r="M36" s="79"/>
      <c r="N36" s="80">
        <f>SUM(R36-J36)</f>
        <v>-77130.27</v>
      </c>
      <c r="Q36" s="79"/>
      <c r="R36" s="80">
        <f>SUM(Q37:Q38)</f>
        <v>10000</v>
      </c>
      <c r="X36" s="107"/>
      <c r="AB36" s="79"/>
      <c r="AC36" s="80">
        <f>SUM(AB37:AB38)</f>
        <v>10000</v>
      </c>
    </row>
    <row r="37" spans="3:29" ht="12.75">
      <c r="C37" s="81" t="s">
        <v>73</v>
      </c>
      <c r="D37" s="83"/>
      <c r="E37" s="78">
        <v>180004.09</v>
      </c>
      <c r="F37" s="54"/>
      <c r="I37" s="78">
        <v>87130.27</v>
      </c>
      <c r="J37" s="54"/>
      <c r="M37" s="78">
        <f>Q37-I37</f>
        <v>-77130.27</v>
      </c>
      <c r="N37" s="54"/>
      <c r="Q37" s="78">
        <v>10000</v>
      </c>
      <c r="R37" s="54"/>
      <c r="X37" s="107"/>
      <c r="AB37" s="78">
        <v>10000</v>
      </c>
      <c r="AC37" s="54"/>
    </row>
    <row r="38" spans="3:29" ht="12.75">
      <c r="C38" s="81" t="s">
        <v>74</v>
      </c>
      <c r="D38" s="83"/>
      <c r="E38" s="78">
        <v>6.08</v>
      </c>
      <c r="F38" s="54"/>
      <c r="I38" s="78">
        <v>0</v>
      </c>
      <c r="J38" s="54"/>
      <c r="M38" s="78">
        <f>Q38-I38</f>
        <v>0</v>
      </c>
      <c r="N38" s="54"/>
      <c r="Q38" s="78">
        <v>0</v>
      </c>
      <c r="R38" s="54"/>
      <c r="AB38" s="78">
        <v>0</v>
      </c>
      <c r="AC38" s="54"/>
    </row>
    <row r="39" spans="1:29" ht="12.75">
      <c r="A39">
        <v>5</v>
      </c>
      <c r="B39" t="s">
        <v>75</v>
      </c>
      <c r="F39" s="78">
        <v>0</v>
      </c>
      <c r="J39" s="78">
        <v>0</v>
      </c>
      <c r="N39" s="78">
        <v>0</v>
      </c>
      <c r="R39" s="78">
        <v>0</v>
      </c>
      <c r="X39" s="80">
        <f>SUM(N21+N30+N36+N40+N45+N46+N47+N48+N53)</f>
        <v>-259764.20000000004</v>
      </c>
      <c r="AC39" s="78">
        <v>0</v>
      </c>
    </row>
    <row r="40" spans="1:29" ht="12.75">
      <c r="A40">
        <v>6</v>
      </c>
      <c r="B40" s="79" t="s">
        <v>76</v>
      </c>
      <c r="C40" s="79"/>
      <c r="D40" s="79"/>
      <c r="E40" s="84"/>
      <c r="F40" s="80">
        <v>45551.02</v>
      </c>
      <c r="I40" s="84"/>
      <c r="J40" s="80">
        <v>35500</v>
      </c>
      <c r="M40" s="84">
        <v>0.01</v>
      </c>
      <c r="N40" s="80">
        <f>SUM(R40-J40)</f>
        <v>-35500</v>
      </c>
      <c r="Q40" s="84"/>
      <c r="R40" s="80">
        <v>0</v>
      </c>
      <c r="X40" s="131" t="s">
        <v>95</v>
      </c>
      <c r="Y40" s="131"/>
      <c r="Z40" s="131"/>
      <c r="AB40" s="84"/>
      <c r="AC40" s="80">
        <v>0</v>
      </c>
    </row>
    <row r="41" spans="1:29" ht="12.75">
      <c r="A41">
        <v>7</v>
      </c>
      <c r="B41" s="79" t="s">
        <v>77</v>
      </c>
      <c r="C41" s="79"/>
      <c r="D41" s="79"/>
      <c r="E41" s="85"/>
      <c r="F41" s="80">
        <v>300732.13</v>
      </c>
      <c r="I41" s="85"/>
      <c r="J41" s="80">
        <f>SUM(I42:I44)</f>
        <v>305997.12690000003</v>
      </c>
      <c r="M41" s="85"/>
      <c r="N41" s="80">
        <f>SUM(M42:M44)</f>
        <v>17747.63580000002</v>
      </c>
      <c r="Q41" s="85"/>
      <c r="R41" s="80">
        <f>SUM(Q42:Q44)</f>
        <v>323744.7627</v>
      </c>
      <c r="AB41" s="85"/>
      <c r="AC41" s="80">
        <f>SUM(AB42:AB44)</f>
        <v>323744.7627</v>
      </c>
    </row>
    <row r="42" spans="2:29" ht="12.75">
      <c r="B42" s="86" t="s">
        <v>78</v>
      </c>
      <c r="C42" s="86"/>
      <c r="D42" s="86"/>
      <c r="E42" s="87">
        <v>68326.53</v>
      </c>
      <c r="F42" s="88"/>
      <c r="I42" s="87">
        <f>K13*0.015</f>
        <v>69249.3675</v>
      </c>
      <c r="J42" s="88"/>
      <c r="M42" s="78">
        <f>Q42-I42</f>
        <v>9081.34080000002</v>
      </c>
      <c r="N42" s="88"/>
      <c r="Q42" s="87">
        <f>S13*0.015</f>
        <v>78330.70830000001</v>
      </c>
      <c r="R42" s="88"/>
      <c r="AB42" s="87">
        <f>AD13*0.015</f>
        <v>78330.70830000001</v>
      </c>
      <c r="AC42" s="88"/>
    </row>
    <row r="43" spans="2:29" ht="12.75">
      <c r="B43" s="86" t="s">
        <v>79</v>
      </c>
      <c r="C43" s="86"/>
      <c r="D43" s="86"/>
      <c r="E43" s="87">
        <f>G14*0.015</f>
        <v>0</v>
      </c>
      <c r="F43" s="88"/>
      <c r="I43" s="87">
        <f>J22*0.02</f>
        <v>4342.1594000000005</v>
      </c>
      <c r="J43" s="88"/>
      <c r="M43" s="78">
        <f>Q43-I43</f>
        <v>8666.295</v>
      </c>
      <c r="N43" s="88"/>
      <c r="Q43" s="87">
        <f>R22*0.02</f>
        <v>13008.4544</v>
      </c>
      <c r="R43" s="88"/>
      <c r="AB43" s="87">
        <f>AC22*0.02</f>
        <v>13008.4544</v>
      </c>
      <c r="AC43" s="88"/>
    </row>
    <row r="44" spans="2:29" ht="12.75">
      <c r="B44" s="86" t="s">
        <v>80</v>
      </c>
      <c r="C44" s="86"/>
      <c r="D44" s="86"/>
      <c r="E44" s="87">
        <v>232405.6</v>
      </c>
      <c r="F44" s="88"/>
      <c r="I44" s="87">
        <v>232405.6</v>
      </c>
      <c r="J44" s="88"/>
      <c r="M44" s="78">
        <f>Q44-I44</f>
        <v>0</v>
      </c>
      <c r="N44" s="88"/>
      <c r="Q44" s="87">
        <v>232405.6</v>
      </c>
      <c r="R44" s="88"/>
      <c r="AB44" s="87">
        <v>232405.6</v>
      </c>
      <c r="AC44" s="88"/>
    </row>
    <row r="45" spans="1:29" ht="12.75">
      <c r="A45">
        <v>8</v>
      </c>
      <c r="B45" s="79" t="s">
        <v>81</v>
      </c>
      <c r="C45" s="79"/>
      <c r="D45" s="79"/>
      <c r="E45" s="79"/>
      <c r="F45" s="80">
        <v>4850</v>
      </c>
      <c r="I45" s="79"/>
      <c r="J45" s="80">
        <v>4850</v>
      </c>
      <c r="M45" s="79"/>
      <c r="N45" s="80">
        <f>SUM(R45-J45)</f>
        <v>-1178</v>
      </c>
      <c r="Q45" s="108"/>
      <c r="R45" s="80">
        <v>3672</v>
      </c>
      <c r="AB45" s="108"/>
      <c r="AC45" s="80">
        <v>3672</v>
      </c>
    </row>
    <row r="46" spans="1:29" ht="12.75">
      <c r="A46">
        <v>9</v>
      </c>
      <c r="B46" s="79" t="s">
        <v>82</v>
      </c>
      <c r="C46" s="79"/>
      <c r="D46" s="79"/>
      <c r="E46" s="79"/>
      <c r="F46" s="80">
        <v>25000</v>
      </c>
      <c r="I46" s="79"/>
      <c r="J46" s="80">
        <v>25000</v>
      </c>
      <c r="M46" s="79"/>
      <c r="N46" s="80">
        <f>SUM(R46-J46)</f>
        <v>-21520.33</v>
      </c>
      <c r="Q46" s="79"/>
      <c r="R46" s="80">
        <v>3479.67</v>
      </c>
      <c r="AB46" s="79"/>
      <c r="AC46" s="80">
        <v>3479.67</v>
      </c>
    </row>
    <row r="47" spans="1:29" ht="12.75">
      <c r="A47">
        <v>10</v>
      </c>
      <c r="B47" s="79" t="s">
        <v>83</v>
      </c>
      <c r="C47" s="79"/>
      <c r="D47" s="79"/>
      <c r="E47" s="79"/>
      <c r="F47" s="80">
        <v>45000</v>
      </c>
      <c r="I47" s="79"/>
      <c r="J47" s="80">
        <v>45000</v>
      </c>
      <c r="M47" s="79"/>
      <c r="N47" s="80">
        <f>SUM(R47-J47)</f>
        <v>-35000</v>
      </c>
      <c r="Q47" s="79"/>
      <c r="R47" s="80">
        <v>10000</v>
      </c>
      <c r="X47" s="80">
        <f>SUM(N17+X39)</f>
        <v>390658.5200000006</v>
      </c>
      <c r="AB47" s="79"/>
      <c r="AC47" s="80">
        <v>10000</v>
      </c>
    </row>
    <row r="48" spans="1:29" ht="12.75">
      <c r="A48">
        <v>11</v>
      </c>
      <c r="B48" s="79" t="s">
        <v>84</v>
      </c>
      <c r="C48" s="79"/>
      <c r="D48" s="79"/>
      <c r="E48" s="79"/>
      <c r="F48" s="80">
        <f>SUM(E49:E50)</f>
        <v>19500</v>
      </c>
      <c r="I48" s="79"/>
      <c r="J48" s="80">
        <f>SUM(I49:I50)</f>
        <v>19500</v>
      </c>
      <c r="M48" s="79"/>
      <c r="N48" s="80">
        <f>SUM(R48-J48)</f>
        <v>-11000</v>
      </c>
      <c r="Q48" s="79"/>
      <c r="R48" s="80">
        <f>SUM(Q49:Q50)</f>
        <v>8500</v>
      </c>
      <c r="X48" s="131" t="s">
        <v>96</v>
      </c>
      <c r="Y48" s="131"/>
      <c r="AB48" s="79"/>
      <c r="AC48" s="80">
        <f>SUM(AB49:AB50)</f>
        <v>8151.16</v>
      </c>
    </row>
    <row r="49" spans="2:29" ht="12.75">
      <c r="B49" s="54" t="s">
        <v>85</v>
      </c>
      <c r="D49" s="81"/>
      <c r="E49" s="89">
        <v>15000</v>
      </c>
      <c r="F49" s="78"/>
      <c r="I49" s="89">
        <v>15000</v>
      </c>
      <c r="J49" s="78"/>
      <c r="M49" s="78">
        <f>SUM(Q49-I49)</f>
        <v>-11000</v>
      </c>
      <c r="N49" s="78"/>
      <c r="Q49" s="89">
        <v>4000</v>
      </c>
      <c r="R49" s="78"/>
      <c r="AB49" s="89">
        <v>1558.16</v>
      </c>
      <c r="AC49" s="78"/>
    </row>
    <row r="50" spans="2:29" ht="12.75">
      <c r="B50" s="90" t="s">
        <v>86</v>
      </c>
      <c r="E50" s="89">
        <v>4500</v>
      </c>
      <c r="F50" s="78"/>
      <c r="I50" s="89">
        <v>4500</v>
      </c>
      <c r="J50" s="78"/>
      <c r="M50" s="78">
        <f>I50-E50</f>
        <v>0</v>
      </c>
      <c r="N50" s="78"/>
      <c r="Q50" s="89">
        <v>4500</v>
      </c>
      <c r="R50" s="78"/>
      <c r="AB50" s="89">
        <v>6593</v>
      </c>
      <c r="AC50" s="78"/>
    </row>
    <row r="51" spans="1:29" ht="12.75">
      <c r="A51">
        <v>12</v>
      </c>
      <c r="B51" s="79" t="s">
        <v>87</v>
      </c>
      <c r="C51" s="79"/>
      <c r="D51" s="79"/>
      <c r="E51" s="84">
        <v>0.1</v>
      </c>
      <c r="F51" s="80">
        <f>SUM(E52)</f>
        <v>439951.65300000005</v>
      </c>
      <c r="I51" s="84">
        <v>0.1</v>
      </c>
      <c r="J51" s="80">
        <f>SUM(I52)</f>
        <v>461662.45</v>
      </c>
      <c r="M51" s="84">
        <v>0.1</v>
      </c>
      <c r="N51" s="80">
        <f>SUM(M52)</f>
        <v>60542.27200000007</v>
      </c>
      <c r="Q51" s="84">
        <v>0.1</v>
      </c>
      <c r="R51" s="80">
        <f>SUM(Q52)</f>
        <v>522204.72200000007</v>
      </c>
      <c r="AB51" s="84">
        <v>0.1</v>
      </c>
      <c r="AC51" s="80">
        <f>SUM(AB52)</f>
        <v>522204.72200000007</v>
      </c>
    </row>
    <row r="52" spans="2:29" ht="12.75">
      <c r="B52" s="54" t="s">
        <v>88</v>
      </c>
      <c r="C52" s="83"/>
      <c r="E52" s="89">
        <f>G13*E51</f>
        <v>439951.65300000005</v>
      </c>
      <c r="F52" s="54"/>
      <c r="I52" s="89">
        <f>K13*I51</f>
        <v>461662.45</v>
      </c>
      <c r="J52" s="54"/>
      <c r="M52" s="89">
        <f>O13*M51</f>
        <v>60542.27200000007</v>
      </c>
      <c r="N52" s="54"/>
      <c r="Q52" s="89">
        <f>S13*Q51</f>
        <v>522204.72200000007</v>
      </c>
      <c r="R52" s="54"/>
      <c r="AB52" s="89">
        <f>AD13*AB51</f>
        <v>522204.72200000007</v>
      </c>
      <c r="AC52" s="54"/>
    </row>
    <row r="53" spans="2:29" ht="12.75">
      <c r="B53" s="79" t="s">
        <v>89</v>
      </c>
      <c r="C53" s="79"/>
      <c r="D53" s="79"/>
      <c r="E53" s="84">
        <v>0.2</v>
      </c>
      <c r="F53" s="80">
        <f>SUM(E54:E56)</f>
        <v>24770</v>
      </c>
      <c r="G53" s="71"/>
      <c r="I53" s="84">
        <v>0.2</v>
      </c>
      <c r="J53" s="80">
        <f>SUM(I54:I56)</f>
        <v>24770</v>
      </c>
      <c r="M53" s="84">
        <v>0.2</v>
      </c>
      <c r="N53" s="80">
        <f>SUM(M54:M56)</f>
        <v>-18435.6</v>
      </c>
      <c r="Q53" s="84">
        <v>0.2</v>
      </c>
      <c r="R53" s="80">
        <f>SUM(Q54:Q56)</f>
        <v>6334.400000000001</v>
      </c>
      <c r="AB53" s="84">
        <v>0.2</v>
      </c>
      <c r="AC53" s="80">
        <f>SUM(AB54:AB56)</f>
        <v>6683.232</v>
      </c>
    </row>
    <row r="54" spans="2:29" ht="12.75">
      <c r="B54" s="91" t="s">
        <v>90</v>
      </c>
      <c r="C54" s="83"/>
      <c r="E54" s="89">
        <f>F25*E53</f>
        <v>5000</v>
      </c>
      <c r="F54" s="54"/>
      <c r="I54" s="89">
        <f>J25*I53</f>
        <v>5000</v>
      </c>
      <c r="J54" s="54"/>
      <c r="M54" s="89">
        <f>Q54-I54</f>
        <v>-4000</v>
      </c>
      <c r="N54" s="54"/>
      <c r="Q54" s="89">
        <f>R25*Q53</f>
        <v>1000</v>
      </c>
      <c r="R54" s="54"/>
      <c r="AB54" s="89">
        <f>AC25*AB53</f>
        <v>1000</v>
      </c>
      <c r="AC54" s="54"/>
    </row>
    <row r="55" spans="2:29" ht="12.75">
      <c r="B55" s="92" t="s">
        <v>91</v>
      </c>
      <c r="C55" s="93"/>
      <c r="D55" s="62"/>
      <c r="E55" s="89">
        <f>(F48+F47+F45+E50)*E53</f>
        <v>14770</v>
      </c>
      <c r="F55" s="54"/>
      <c r="I55" s="89">
        <f>(J48+J47+J45+I50)*I53</f>
        <v>14770</v>
      </c>
      <c r="J55" s="54"/>
      <c r="M55" s="89">
        <f>Q55-I55</f>
        <v>-9435.599999999999</v>
      </c>
      <c r="N55" s="54"/>
      <c r="Q55" s="89">
        <f>(R48+R47+R45+Q50)*Q53</f>
        <v>5334.400000000001</v>
      </c>
      <c r="R55" s="54"/>
      <c r="X55" s="80">
        <f>SUM(O13-X47)</f>
        <v>214764.20000000007</v>
      </c>
      <c r="AB55" s="89">
        <f>(AC48+AC47+AC45+AB50)*AB53</f>
        <v>5683.232</v>
      </c>
      <c r="AC55" s="54"/>
    </row>
    <row r="56" spans="2:29" ht="12.75">
      <c r="B56" t="s">
        <v>92</v>
      </c>
      <c r="E56" s="89">
        <f>F46*E53</f>
        <v>5000</v>
      </c>
      <c r="F56" s="54"/>
      <c r="I56" s="89">
        <f>J46*I53</f>
        <v>5000</v>
      </c>
      <c r="J56" s="54"/>
      <c r="M56" s="89">
        <f>Q56-I56</f>
        <v>-5000</v>
      </c>
      <c r="N56" s="54"/>
      <c r="Q56" s="89">
        <v>0</v>
      </c>
      <c r="R56" s="54"/>
      <c r="X56" s="53" t="s">
        <v>97</v>
      </c>
      <c r="AB56" s="89">
        <v>0</v>
      </c>
      <c r="AC56" s="54"/>
    </row>
    <row r="57" spans="5:29" ht="12.75">
      <c r="E57" s="89"/>
      <c r="F57" s="54"/>
      <c r="I57" s="89"/>
      <c r="J57" s="54"/>
      <c r="M57" s="78"/>
      <c r="N57" s="54"/>
      <c r="Q57" s="89"/>
      <c r="R57" s="54"/>
      <c r="AB57" s="89"/>
      <c r="AC57" s="54"/>
    </row>
    <row r="58" spans="2:30" ht="12.75">
      <c r="B58" s="94" t="s">
        <v>93</v>
      </c>
      <c r="C58" s="79"/>
      <c r="D58" s="79"/>
      <c r="E58" s="95"/>
      <c r="F58" s="96">
        <v>136152.85</v>
      </c>
      <c r="I58" s="95"/>
      <c r="J58" s="97">
        <v>0</v>
      </c>
      <c r="K58" s="98"/>
      <c r="L58" s="98"/>
      <c r="N58" s="80"/>
      <c r="P58" s="98"/>
      <c r="Q58" s="95"/>
      <c r="R58" s="97">
        <v>0</v>
      </c>
      <c r="S58" s="98"/>
      <c r="AB58" s="95"/>
      <c r="AC58" s="97">
        <v>0</v>
      </c>
      <c r="AD58" s="98"/>
    </row>
    <row r="59" spans="6:29" ht="12.75">
      <c r="F59" s="54"/>
      <c r="J59" s="54"/>
      <c r="R59" s="54"/>
      <c r="AC59" s="54"/>
    </row>
    <row r="60" spans="6:30" ht="12.75">
      <c r="F60" s="99" t="s">
        <v>94</v>
      </c>
      <c r="G60" s="100">
        <f>G13+G27</f>
        <v>5646034.353</v>
      </c>
      <c r="J60" s="99" t="s">
        <v>94</v>
      </c>
      <c r="K60" s="100">
        <f>K13+K27+K58</f>
        <v>5646034.3469</v>
      </c>
      <c r="L60" s="104"/>
      <c r="N60" s="99" t="s">
        <v>94</v>
      </c>
      <c r="O60" s="100">
        <f>O13+O27+O58</f>
        <v>468948.42780000076</v>
      </c>
      <c r="P60" s="104"/>
      <c r="R60" s="99" t="s">
        <v>94</v>
      </c>
      <c r="S60" s="100">
        <f>S13+S27+S58</f>
        <v>6114982.774700001</v>
      </c>
      <c r="X60" s="80">
        <f>SUM(X47:X55)</f>
        <v>605422.7200000007</v>
      </c>
      <c r="AC60" s="99" t="s">
        <v>94</v>
      </c>
      <c r="AD60" s="100">
        <f>AD13+AD27+AD58</f>
        <v>6114982.7667000005</v>
      </c>
    </row>
    <row r="61" spans="2:24" ht="12.75">
      <c r="B61" s="101"/>
      <c r="F61" s="54"/>
      <c r="X61" s="53" t="s">
        <v>98</v>
      </c>
    </row>
    <row r="62" spans="4:6" ht="12.75">
      <c r="D62" s="56"/>
      <c r="F62" s="54"/>
    </row>
    <row r="63" spans="4:23" ht="12.75">
      <c r="D63" s="102"/>
      <c r="F63" s="54"/>
      <c r="K63" s="71"/>
      <c r="L63" s="71"/>
      <c r="M63" s="71"/>
      <c r="N63" s="71"/>
      <c r="O63" s="71"/>
      <c r="P63" s="71"/>
      <c r="R63" s="104"/>
      <c r="S63" s="71"/>
      <c r="W63" s="71"/>
    </row>
    <row r="64" spans="6:7" ht="12.75">
      <c r="F64" s="54"/>
      <c r="G64" s="52" t="s">
        <v>106</v>
      </c>
    </row>
    <row r="65" spans="6:23" ht="12.75">
      <c r="F65" s="54"/>
      <c r="G65" s="102" t="s">
        <v>104</v>
      </c>
      <c r="W65" s="71"/>
    </row>
    <row r="66" ht="12.75">
      <c r="N66" s="71"/>
    </row>
  </sheetData>
  <mergeCells count="13">
    <mergeCell ref="D1:G1"/>
    <mergeCell ref="D4:G4"/>
    <mergeCell ref="D6:G6"/>
    <mergeCell ref="B2:J2"/>
    <mergeCell ref="D7:G7"/>
    <mergeCell ref="D9:G9"/>
    <mergeCell ref="E11:G11"/>
    <mergeCell ref="I11:K11"/>
    <mergeCell ref="AB11:AD11"/>
    <mergeCell ref="X40:Z40"/>
    <mergeCell ref="X48:Y48"/>
    <mergeCell ref="M11:O11"/>
    <mergeCell ref="Q11:S11"/>
  </mergeCells>
  <printOptions/>
  <pageMargins left="0.81" right="0.16" top="0.29" bottom="0.31" header="0.19" footer="0.25"/>
  <pageSetup fitToHeight="1" fitToWidth="1" horizontalDpi="600" verticalDpi="600" orientation="landscape" paperSize="9" scale="62" r:id="rId1"/>
  <headerFooter alignWithMargins="0">
    <oddHeader>&amp;L&amp;6&amp;F</oddHeader>
  </headerFooter>
  <ignoredErrors>
    <ignoredError sqref="R48 J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roma</dc:creator>
  <cp:keywords/>
  <dc:description/>
  <cp:lastModifiedBy>l.carbonetti</cp:lastModifiedBy>
  <cp:lastPrinted>2009-06-22T09:44:26Z</cp:lastPrinted>
  <dcterms:created xsi:type="dcterms:W3CDTF">2006-04-03T10:04:21Z</dcterms:created>
  <dcterms:modified xsi:type="dcterms:W3CDTF">2009-06-22T10:03:56Z</dcterms:modified>
  <cp:category/>
  <cp:version/>
  <cp:contentType/>
  <cp:contentStatus/>
</cp:coreProperties>
</file>